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3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480" yWindow="480" windowWidth="25120" windowHeight="14080" tabRatio="674" activeTab="4"/>
  </bookViews>
  <sheets>
    <sheet name="Instructions" sheetId="6" r:id="rId1"/>
    <sheet name="Cover crop PAN calculator" sheetId="3" r:id="rId2"/>
    <sheet name="Typical Poamoho results" sheetId="1" r:id="rId3"/>
    <sheet name="Typical Lalamilo results" sheetId="2" r:id="rId4"/>
    <sheet name="Model graphs" sheetId="4" r:id="rId5"/>
  </sheets>
  <externalReferences>
    <externalReference r:id="rId6"/>
    <externalReference r:id="rId7"/>
    <externalReference r:id="rId8"/>
    <externalReference r:id="rId9"/>
  </externalReferences>
  <definedNames>
    <definedName name="CombinedMonthlyPayment">CollegeLoans[[#Totals],[PAN (%)]]</definedName>
    <definedName name="ConsLoanPayback">'Cover crop PAN calculator'!$G$20</definedName>
    <definedName name="EstimatedAnnualSalary">#REF!</definedName>
    <definedName name="EstimatedMonthlySalary">'Cover crop PAN calculator'!$G$21</definedName>
    <definedName name="LoanPaybackStart">#REF!</definedName>
    <definedName name="LoanStartLToday">IF(LoanPaybackStart&lt;TODAY(),TRUE,FALSE)</definedName>
    <definedName name="PercentAboveBelow">IF(CollegeLoans[[#Totals],[PAN (%)2]]/EstimatedMonthlySalary&gt;=0.08,"above","below")</definedName>
    <definedName name="PercentageOfIncome">"CollegeLoans[[#Totals],[Monthly Payment]]/EstimatedMonthlySalary"</definedName>
    <definedName name="PercentageOfMonthlyIncome">CollegeLoans[[#Totals],[PAN (%)]]/EstimatedMonthlySalary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3" l="1"/>
  <c r="K14" i="3"/>
  <c r="J14" i="3"/>
  <c r="L14" i="3"/>
  <c r="I14" i="3"/>
  <c r="N14" i="3"/>
  <c r="H14" i="3"/>
  <c r="K10" i="3"/>
  <c r="M11" i="3"/>
  <c r="M10" i="3"/>
  <c r="H10" i="3"/>
  <c r="I10" i="3"/>
  <c r="J10" i="3"/>
  <c r="N10" i="3"/>
  <c r="L10" i="3"/>
  <c r="M17" i="3"/>
  <c r="K17" i="3"/>
  <c r="J17" i="3"/>
  <c r="N17" i="3"/>
  <c r="L17" i="3"/>
  <c r="I17" i="3"/>
  <c r="H17" i="3"/>
  <c r="G22" i="3"/>
  <c r="M19" i="3"/>
  <c r="M18" i="3"/>
  <c r="M16" i="3"/>
  <c r="M15" i="3"/>
  <c r="M13" i="3"/>
  <c r="M12" i="3"/>
  <c r="K19" i="3"/>
  <c r="K18" i="3"/>
  <c r="K16" i="3"/>
  <c r="K15" i="3"/>
  <c r="K13" i="3"/>
  <c r="K12" i="3"/>
  <c r="K11" i="3"/>
  <c r="C17" i="1"/>
  <c r="F8" i="2"/>
  <c r="H8" i="2"/>
  <c r="F9" i="2"/>
  <c r="H9" i="2"/>
  <c r="F10" i="2"/>
  <c r="H10" i="2"/>
  <c r="F11" i="2"/>
  <c r="H11" i="2"/>
  <c r="F7" i="2"/>
  <c r="H7" i="2"/>
  <c r="D7" i="2"/>
  <c r="D8" i="2"/>
  <c r="D9" i="2"/>
  <c r="D10" i="2"/>
  <c r="D11" i="2"/>
  <c r="C12" i="2"/>
  <c r="D12" i="2"/>
  <c r="B6" i="3"/>
  <c r="H16" i="3"/>
  <c r="I16" i="3"/>
  <c r="J16" i="3"/>
  <c r="H18" i="3"/>
  <c r="I18" i="3"/>
  <c r="J18" i="3"/>
  <c r="H19" i="3"/>
  <c r="I19" i="3"/>
  <c r="J19" i="3"/>
  <c r="H15" i="3"/>
  <c r="I15" i="3"/>
  <c r="J15" i="3"/>
  <c r="H13" i="3"/>
  <c r="I13" i="3"/>
  <c r="J13" i="3"/>
  <c r="H12" i="3"/>
  <c r="I12" i="3"/>
  <c r="J12" i="3"/>
  <c r="H11" i="3"/>
  <c r="I11" i="3"/>
  <c r="J11" i="3"/>
  <c r="N18" i="3"/>
  <c r="L18" i="3"/>
  <c r="N15" i="3"/>
  <c r="L15" i="3"/>
  <c r="N12" i="3"/>
  <c r="L12" i="3"/>
  <c r="N11" i="3"/>
  <c r="L11" i="3"/>
  <c r="E6" i="1"/>
  <c r="E12" i="1"/>
  <c r="N16" i="3"/>
  <c r="N19" i="3"/>
  <c r="N13" i="3"/>
  <c r="L13" i="3"/>
  <c r="L16" i="3"/>
  <c r="L19" i="3"/>
  <c r="D11" i="1"/>
  <c r="C11" i="1"/>
  <c r="G6" i="1"/>
  <c r="K6" i="1"/>
  <c r="E7" i="1"/>
  <c r="G7" i="1"/>
  <c r="K7" i="1"/>
  <c r="E8" i="1"/>
  <c r="G8" i="1"/>
  <c r="K8" i="1"/>
  <c r="E9" i="1"/>
  <c r="G9" i="1"/>
  <c r="K9" i="1"/>
  <c r="E10" i="1"/>
  <c r="G10" i="1"/>
  <c r="K10" i="1"/>
  <c r="G12" i="1"/>
  <c r="K12" i="1"/>
  <c r="E13" i="1"/>
  <c r="G13" i="1"/>
  <c r="K13" i="1"/>
  <c r="E14" i="1"/>
  <c r="G14" i="1"/>
  <c r="K14" i="1"/>
  <c r="E15" i="1"/>
  <c r="G15" i="1"/>
  <c r="K15" i="1"/>
  <c r="E16" i="1"/>
  <c r="G16" i="1"/>
  <c r="K16" i="1"/>
  <c r="E18" i="1"/>
  <c r="G18" i="1"/>
  <c r="K18" i="1"/>
  <c r="E19" i="1"/>
  <c r="G19" i="1"/>
  <c r="K19" i="1"/>
  <c r="E20" i="1"/>
  <c r="G20" i="1"/>
  <c r="K20" i="1"/>
  <c r="E21" i="1"/>
  <c r="G21" i="1"/>
  <c r="K21" i="1"/>
  <c r="E22" i="1"/>
  <c r="G22" i="1"/>
  <c r="K22" i="1"/>
  <c r="E23" i="1"/>
  <c r="G23" i="1"/>
  <c r="K23" i="1"/>
  <c r="K25" i="1"/>
  <c r="J25" i="1"/>
  <c r="I6" i="1"/>
  <c r="I7" i="1"/>
  <c r="I8" i="1"/>
  <c r="I9" i="1"/>
  <c r="I10" i="1"/>
  <c r="I12" i="1"/>
  <c r="I13" i="1"/>
  <c r="I14" i="1"/>
  <c r="I15" i="1"/>
  <c r="I16" i="1"/>
  <c r="I18" i="1"/>
  <c r="I19" i="1"/>
  <c r="I20" i="1"/>
  <c r="I21" i="1"/>
  <c r="I22" i="1"/>
  <c r="I23" i="1"/>
  <c r="I25" i="1"/>
  <c r="H25" i="1"/>
  <c r="F25" i="1"/>
  <c r="D25" i="1"/>
  <c r="K24" i="1"/>
  <c r="K17" i="1"/>
  <c r="K11" i="1"/>
  <c r="E12" i="2"/>
  <c r="K12" i="2"/>
  <c r="I12" i="2"/>
  <c r="G12" i="2"/>
  <c r="C24" i="1"/>
  <c r="L11" i="2"/>
  <c r="J11" i="2"/>
  <c r="L7" i="2"/>
  <c r="J7" i="2"/>
  <c r="J8" i="2"/>
  <c r="L8" i="2"/>
  <c r="L9" i="2"/>
  <c r="J9" i="2"/>
  <c r="J10" i="2"/>
  <c r="L10" i="2"/>
  <c r="D24" i="1"/>
  <c r="D17" i="1"/>
  <c r="J24" i="1"/>
  <c r="H24" i="1"/>
  <c r="F24" i="1"/>
  <c r="J17" i="1"/>
  <c r="H17" i="1"/>
  <c r="F17" i="1"/>
  <c r="F11" i="1"/>
  <c r="J11" i="1"/>
  <c r="H11" i="1"/>
  <c r="G17" i="1"/>
  <c r="G24" i="1"/>
</calcChain>
</file>

<file path=xl/sharedStrings.xml><?xml version="1.0" encoding="utf-8"?>
<sst xmlns="http://schemas.openxmlformats.org/spreadsheetml/2006/main" count="177" uniqueCount="114">
  <si>
    <r>
      <t>Fresh Weight (lb/ft</t>
    </r>
    <r>
      <rPr>
        <vertAlign val="superscript"/>
        <sz val="11"/>
        <color theme="3"/>
        <rFont val="Calibri"/>
        <family val="2"/>
        <scheme val="minor"/>
      </rPr>
      <t>2</t>
    </r>
    <r>
      <rPr>
        <sz val="11"/>
        <color theme="3"/>
        <rFont val="Calibri"/>
        <family val="2"/>
        <scheme val="minor"/>
      </rPr>
      <t>)</t>
    </r>
  </si>
  <si>
    <t>Dry Weight (lb/Acre)</t>
  </si>
  <si>
    <t>Total N(lb/A)</t>
  </si>
  <si>
    <t>Cover Crop Tissue</t>
  </si>
  <si>
    <t xml:space="preserve">28 Days </t>
  </si>
  <si>
    <t>70 Days</t>
  </si>
  <si>
    <t>PAN (%)</t>
  </si>
  <si>
    <t>PAN (%)2</t>
  </si>
  <si>
    <t>Tissue N (%)</t>
  </si>
  <si>
    <t>Dry Content (%)</t>
  </si>
  <si>
    <t>Cover Crop</t>
  </si>
  <si>
    <t>Season/tillage</t>
  </si>
  <si>
    <t>Winter/Till</t>
  </si>
  <si>
    <t>Cover Cropping Practice</t>
  </si>
  <si>
    <t>Actual PAN (lb/A)</t>
  </si>
  <si>
    <t>Actual PAN(lb/A)</t>
  </si>
  <si>
    <t>Sunn hemp</t>
  </si>
  <si>
    <t>Cowpea</t>
  </si>
  <si>
    <t>Lablab</t>
  </si>
  <si>
    <t>Pigeon pea</t>
  </si>
  <si>
    <t>Woolypod vetch</t>
  </si>
  <si>
    <t>Winter/No-till</t>
  </si>
  <si>
    <t>Sudex</t>
  </si>
  <si>
    <t>Oat (TAM406)</t>
  </si>
  <si>
    <t>Oil Radish</t>
  </si>
  <si>
    <t>Average</t>
  </si>
  <si>
    <t>Average (Overall)</t>
  </si>
  <si>
    <t>Cowpea (Blackeye #5)</t>
  </si>
  <si>
    <t>Bell bean</t>
  </si>
  <si>
    <t>Austrian Winter Pea</t>
  </si>
  <si>
    <t>Annual ryegrass</t>
  </si>
  <si>
    <t>Oat (Cayuse)</t>
  </si>
  <si>
    <t>Summer/No-till</t>
  </si>
  <si>
    <t>Location</t>
  </si>
  <si>
    <t>Poamoho</t>
  </si>
  <si>
    <t>Waimea</t>
  </si>
  <si>
    <t>Kula</t>
  </si>
  <si>
    <t>Hoolehua</t>
  </si>
  <si>
    <t xml:space="preserve"> farming practices, and microbial activity in soil.</t>
  </si>
  <si>
    <t xml:space="preserve">Disclaimer: Cover Crop Calculator is mainly an estimation of PAN%. Accuracy of Cover Crop Calculator is dependent on </t>
  </si>
  <si>
    <t>climate conditions, season, soil type, cover crop species, biomass, plant age, tissue N%, time after cover crop termination,</t>
  </si>
  <si>
    <t>Island</t>
  </si>
  <si>
    <t>Soil Order</t>
  </si>
  <si>
    <t>Oahu</t>
  </si>
  <si>
    <t>Oxisols</t>
  </si>
  <si>
    <t>Andisols</t>
  </si>
  <si>
    <t>Inceptisols</t>
  </si>
  <si>
    <t>Maui</t>
  </si>
  <si>
    <t>Hawaii</t>
  </si>
  <si>
    <t>Molokai</t>
  </si>
  <si>
    <t>Waimanalo</t>
  </si>
  <si>
    <t>Mollisols</t>
  </si>
  <si>
    <t>Kunia</t>
  </si>
  <si>
    <t>Alae</t>
  </si>
  <si>
    <t>Waiakoa</t>
  </si>
  <si>
    <t>Fraction of acre sampled</t>
  </si>
  <si>
    <t>Total % N from lab (x.x%)</t>
  </si>
  <si>
    <t>% dry matter from lab (xx.x%)</t>
  </si>
  <si>
    <t>Fresh wt of field sample (x.xlbs)</t>
  </si>
  <si>
    <t>2. Enter your information in white cells</t>
  </si>
  <si>
    <t>Your sample info.</t>
  </si>
  <si>
    <t>Location and soil</t>
  </si>
  <si>
    <t>Dry wt. &amp; total N</t>
  </si>
  <si>
    <t>28 Day PAN</t>
  </si>
  <si>
    <t>70 Day PAN</t>
  </si>
  <si>
    <t>1. Use row with your location and soil order</t>
  </si>
  <si>
    <r>
      <t>Area sampled (ft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</si>
  <si>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t>Total N (lb/A)</t>
  </si>
  <si>
    <t>Date:</t>
  </si>
  <si>
    <t>Fresh Weight (lbs/ac)</t>
  </si>
  <si>
    <t>Dry Matter (%)</t>
  </si>
  <si>
    <t>Actual PAN (lb/A)2</t>
  </si>
  <si>
    <t>Cover Crop Practice</t>
  </si>
  <si>
    <t xml:space="preserve">Field </t>
  </si>
  <si>
    <t>Field sample</t>
  </si>
  <si>
    <t>Fresh weight</t>
  </si>
  <si>
    <t>Record</t>
  </si>
  <si>
    <t>STEP-BY-STEP GUIDE TO COVER CROP SAMPLING AND USING THE CALCULATOR:</t>
  </si>
  <si>
    <t>Lab sample</t>
  </si>
  <si>
    <t xml:space="preserve">Record the area sampled and fresh weight of your field sample </t>
  </si>
  <si>
    <t>Interpreting results 1</t>
  </si>
  <si>
    <t>Interpreting results 2</t>
  </si>
  <si>
    <t>Monitor crops &amp; soil</t>
  </si>
  <si>
    <t>Look for crop N deficiencies and monitor soil nitrate levels. Supplement with additional fertilizer PAN if needed.</t>
  </si>
  <si>
    <t>3. Results are in the orange cells</t>
  </si>
  <si>
    <t>Cover Crop Calculator for Plant Available N</t>
  </si>
  <si>
    <t>Plant Available N of Typical Cover Crops Used in Higher Elevation in Hawaii (e.g. Lalamilo)</t>
  </si>
  <si>
    <t>Plant Available N of Typical Cover Crops Used in Lower Elevation in Hawaii (e.g. Poamoho)</t>
  </si>
  <si>
    <t>Enter PAN available from your cover crop (column L or N):</t>
  </si>
  <si>
    <r>
      <t xml:space="preserve">Compare your cover crop results with UH ranges (found in </t>
    </r>
    <r>
      <rPr>
        <b/>
        <sz val="11"/>
        <color theme="1"/>
        <rFont val="Calibri"/>
        <family val="2"/>
        <scheme val="minor"/>
      </rPr>
      <t>'Typical Poamoho/Lalamilo Results'</t>
    </r>
    <r>
      <rPr>
        <sz val="11"/>
        <color theme="1"/>
        <rFont val="Calibri"/>
        <family val="2"/>
        <scheme val="minor"/>
      </rPr>
      <t>) for specific  cover crop species. Use caution if your estimates are unusual.</t>
    </r>
  </si>
  <si>
    <t>Cover crop calculator (column D-G)</t>
  </si>
  <si>
    <t>Cover crop calculator (cells G15-G17)</t>
  </si>
  <si>
    <r>
      <t xml:space="preserve">Follow instruction in Sheet #1 to fill in cells in </t>
    </r>
    <r>
      <rPr>
        <b/>
        <sz val="11"/>
        <rFont val="Calibri"/>
        <family val="2"/>
        <scheme val="minor"/>
      </rPr>
      <t>Step 2</t>
    </r>
    <r>
      <rPr>
        <sz val="11"/>
        <rFont val="Calibri"/>
        <family val="2"/>
        <scheme val="minor"/>
      </rPr>
      <t>. Best time to terminate an annual cover crop in Hawaii is about 2-3 months after planting.</t>
    </r>
  </si>
  <si>
    <t xml:space="preserve">Note: Majority of the PAN were released during the first 28 days after cover crop termination. </t>
  </si>
  <si>
    <t xml:space="preserve">competitive and economically viable organic farming practices for local and immigrant farmers in Hawaii. Cover Crop Calculator for </t>
  </si>
  <si>
    <t xml:space="preserve">Hawaii is sponsored by USDA NRCS CIG (69-3A75-14-231).  </t>
  </si>
  <si>
    <r>
      <t xml:space="preserve">in March 2017. </t>
    </r>
    <r>
      <rPr>
        <b/>
        <vertAlign val="superscript"/>
        <sz val="11"/>
        <color theme="3"/>
        <rFont val="Calibri"/>
        <family val="2"/>
        <scheme val="minor"/>
      </rPr>
      <t>z</t>
    </r>
    <r>
      <rPr>
        <b/>
        <sz val="11"/>
        <color theme="3"/>
        <rFont val="Calibri"/>
        <family val="2"/>
        <scheme val="minor"/>
      </rPr>
      <t xml:space="preserve">University of Hawaii, </t>
    </r>
    <r>
      <rPr>
        <b/>
        <vertAlign val="superscript"/>
        <sz val="11"/>
        <color theme="3"/>
        <rFont val="Calibri"/>
        <family val="2"/>
        <scheme val="minor"/>
      </rPr>
      <t>y</t>
    </r>
    <r>
      <rPr>
        <b/>
        <sz val="11"/>
        <color theme="3"/>
        <rFont val="Calibri"/>
        <family val="2"/>
        <scheme val="minor"/>
      </rPr>
      <t xml:space="preserve"> Oregon State University. </t>
    </r>
  </si>
  <si>
    <r>
      <rPr>
        <b/>
        <vertAlign val="superscript"/>
        <sz val="11"/>
        <color theme="3"/>
        <rFont val="Calibri"/>
        <family val="2"/>
        <scheme val="minor"/>
      </rPr>
      <t>x</t>
    </r>
    <r>
      <rPr>
        <b/>
        <sz val="11"/>
        <color theme="3"/>
        <rFont val="Calibri"/>
        <family val="2"/>
        <scheme val="minor"/>
      </rPr>
      <t xml:space="preserve">CRATE (Center for Rural Agricultural Training and Entrepreneurship) is an USDA NIFA funded project (2013-04774) aimed to explore </t>
    </r>
  </si>
  <si>
    <r>
      <t>This calculator is developed by Wang, K.-H.</t>
    </r>
    <r>
      <rPr>
        <b/>
        <vertAlign val="superscript"/>
        <sz val="11"/>
        <color theme="3"/>
        <rFont val="Calibri"/>
        <family val="2"/>
        <scheme val="minor"/>
      </rPr>
      <t>z</t>
    </r>
    <r>
      <rPr>
        <b/>
        <sz val="11"/>
        <color theme="3"/>
        <rFont val="Calibri"/>
        <family val="2"/>
        <scheme val="minor"/>
      </rPr>
      <t>, N. Andrew</t>
    </r>
    <r>
      <rPr>
        <b/>
        <vertAlign val="superscript"/>
        <sz val="11"/>
        <color theme="3"/>
        <rFont val="Calibri"/>
        <family val="2"/>
        <scheme val="minor"/>
      </rPr>
      <t>y</t>
    </r>
    <r>
      <rPr>
        <b/>
        <sz val="11"/>
        <color theme="3"/>
        <rFont val="Calibri"/>
        <family val="2"/>
        <scheme val="minor"/>
      </rPr>
      <t>, S. Ching</t>
    </r>
    <r>
      <rPr>
        <b/>
        <vertAlign val="superscript"/>
        <sz val="11"/>
        <color theme="3"/>
        <rFont val="Calibri"/>
        <family val="2"/>
        <scheme val="minor"/>
      </rPr>
      <t>z</t>
    </r>
    <r>
      <rPr>
        <b/>
        <sz val="11"/>
        <color theme="3"/>
        <rFont val="Calibri"/>
        <family val="2"/>
        <scheme val="minor"/>
      </rPr>
      <t>, J. Marquez</t>
    </r>
    <r>
      <rPr>
        <b/>
        <vertAlign val="superscript"/>
        <sz val="11"/>
        <color theme="3"/>
        <rFont val="Calibri"/>
        <family val="2"/>
        <scheme val="minor"/>
      </rPr>
      <t>z</t>
    </r>
    <r>
      <rPr>
        <b/>
        <sz val="11"/>
        <color theme="3"/>
        <rFont val="Calibri"/>
        <family val="2"/>
        <scheme val="minor"/>
      </rPr>
      <t>, A. Pant, T. Radovich</t>
    </r>
    <r>
      <rPr>
        <b/>
        <vertAlign val="superscript"/>
        <sz val="11"/>
        <color theme="3"/>
        <rFont val="Calibri"/>
        <family val="2"/>
        <scheme val="minor"/>
      </rPr>
      <t>z</t>
    </r>
    <r>
      <rPr>
        <b/>
        <sz val="11"/>
        <color theme="3"/>
        <rFont val="Calibri"/>
        <family val="2"/>
        <scheme val="minor"/>
      </rPr>
      <t>,  P. Waisen</t>
    </r>
    <r>
      <rPr>
        <b/>
        <vertAlign val="superscript"/>
        <sz val="11"/>
        <color theme="3"/>
        <rFont val="Calibri"/>
        <family val="2"/>
        <scheme val="minor"/>
      </rPr>
      <t>z</t>
    </r>
    <r>
      <rPr>
        <b/>
        <sz val="11"/>
        <color theme="3"/>
        <rFont val="Calibri"/>
        <family val="2"/>
        <scheme val="minor"/>
      </rPr>
      <t>, and D. Sullivan</t>
    </r>
    <r>
      <rPr>
        <b/>
        <vertAlign val="superscript"/>
        <sz val="11"/>
        <color theme="3"/>
        <rFont val="Calibri"/>
        <family val="2"/>
        <scheme val="minor"/>
      </rPr>
      <t xml:space="preserve">y </t>
    </r>
  </si>
  <si>
    <t>Disclaimer: this Cover Crop Calculator estimates % PAN based on cover crop %N and mineralization rates at different locations. Accuracy of predictions may vary depending on climate, season, time after cover crop termination, farming practices and soil microbial activity.</t>
  </si>
  <si>
    <t xml:space="preserve">  Cover Crop Calculator PAN-N Model Graphs</t>
  </si>
  <si>
    <t>Total N requirement for your crop (lb/acre):</t>
  </si>
  <si>
    <t>Estimated N fertilizer for next crop (lb/acre):</t>
  </si>
  <si>
    <t>Combine all quadrant samples. Tear the plant samples up by hand and mix for 1-2 minutes. Weigh the total fresh biomass of your field sample.</t>
  </si>
  <si>
    <t>Collect a 1-2 lb of your biomass sample for lab analysis by sending the sample to an analytical lab that will dry and grind the whole sample before testing for total %N and % dry matter.</t>
  </si>
  <si>
    <t>Enter area sampled (column D), fresh weight of biomass (column E), total %N (column F) and % dry matter (column G).</t>
  </si>
  <si>
    <t>PW=ccpan$</t>
  </si>
  <si>
    <t>This does not account for additional N from soil organic matter.</t>
  </si>
  <si>
    <r>
      <t>Just before termination, sample above ground cover crop biomass from at least 4 locations in your field: i.e. four 1-ft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quadrants. </t>
    </r>
  </si>
  <si>
    <r>
      <t>Enter total crop N requirement (cell G18).</t>
    </r>
    <r>
      <rPr>
        <sz val="11"/>
        <color theme="1"/>
        <rFont val="Calibri"/>
        <family val="2"/>
        <scheme val="minor"/>
      </rPr>
      <t xml:space="preserve"> Enter cover crop PAN from column N or L (cell G19).</t>
    </r>
  </si>
  <si>
    <t>Cell G20 provides you the estimate of additional N fertilizer needed for your crop.</t>
  </si>
  <si>
    <t>Kauai</t>
  </si>
  <si>
    <t>Mokulele</t>
  </si>
  <si>
    <t>Lihue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</si>
</sst>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0.0"/>
    <numFmt numFmtId="166" formatCode="0.00000"/>
    <numFmt numFmtId="167" formatCode="0.0%"/>
  </numFmts>
  <fonts count="33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6"/>
      <color theme="6"/>
      <name val="Calibri"/>
      <family val="2"/>
      <scheme val="minor"/>
    </font>
    <font>
      <b/>
      <sz val="18"/>
      <color theme="0"/>
      <name val="Calibri"/>
      <family val="2"/>
      <scheme val="minor"/>
    </font>
    <font>
      <vertAlign val="superscript"/>
      <sz val="11"/>
      <color theme="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3"/>
      <name val="Calibri"/>
      <scheme val="minor"/>
    </font>
    <font>
      <b/>
      <sz val="24"/>
      <color theme="0"/>
      <name val="Calibri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1"/>
      <color theme="3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7" fillId="3" borderId="0" xfId="6" applyBorder="1" applyAlignment="1">
      <alignment horizontal="center" wrapText="1"/>
    </xf>
    <xf numFmtId="10" fontId="0" fillId="0" borderId="1" xfId="1" applyNumberFormat="1" applyFont="1" applyFill="1" applyBorder="1" applyAlignment="1" applyProtection="1">
      <alignment horizontal="left"/>
    </xf>
    <xf numFmtId="10" fontId="10" fillId="5" borderId="1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0" fontId="0" fillId="5" borderId="1" xfId="0" applyNumberFormat="1" applyFont="1" applyFill="1" applyBorder="1" applyAlignment="1" applyProtection="1">
      <alignment horizontal="center" vertical="center"/>
    </xf>
    <xf numFmtId="10" fontId="0" fillId="5" borderId="1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2" fontId="0" fillId="5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/>
    </xf>
    <xf numFmtId="0" fontId="10" fillId="5" borderId="2" xfId="0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2" fontId="0" fillId="5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16" fillId="4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 indent="2"/>
    </xf>
    <xf numFmtId="10" fontId="16" fillId="0" borderId="0" xfId="0" applyNumberFormat="1" applyFont="1" applyAlignment="1">
      <alignment horizontal="center"/>
    </xf>
    <xf numFmtId="10" fontId="16" fillId="0" borderId="2" xfId="0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0" fillId="0" borderId="0" xfId="0" applyProtection="1"/>
    <xf numFmtId="2" fontId="0" fillId="0" borderId="0" xfId="0" applyNumberFormat="1" applyAlignment="1" applyProtection="1">
      <alignment horizontal="center"/>
    </xf>
    <xf numFmtId="2" fontId="10" fillId="5" borderId="1" xfId="1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 indent="1"/>
    </xf>
    <xf numFmtId="0" fontId="0" fillId="0" borderId="0" xfId="0" applyFont="1" applyFill="1" applyBorder="1" applyAlignment="1" applyProtection="1">
      <alignment horizontal="left"/>
    </xf>
    <xf numFmtId="2" fontId="0" fillId="0" borderId="1" xfId="0" applyNumberFormat="1" applyFont="1" applyFill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left" vertical="center" indent="1"/>
    </xf>
    <xf numFmtId="0" fontId="10" fillId="5" borderId="0" xfId="0" applyFont="1" applyFill="1" applyBorder="1" applyAlignment="1" applyProtection="1">
      <alignment vertical="center"/>
    </xf>
    <xf numFmtId="0" fontId="10" fillId="5" borderId="1" xfId="0" applyFont="1" applyFill="1" applyBorder="1" applyAlignment="1" applyProtection="1">
      <alignment vertical="center"/>
    </xf>
    <xf numFmtId="164" fontId="10" fillId="5" borderId="0" xfId="0" applyNumberFormat="1" applyFont="1" applyFill="1" applyAlignment="1" applyProtection="1">
      <alignment horizontal="center"/>
    </xf>
    <xf numFmtId="2" fontId="10" fillId="5" borderId="2" xfId="0" applyNumberFormat="1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left" vertical="center" indent="1"/>
    </xf>
    <xf numFmtId="0" fontId="0" fillId="5" borderId="0" xfId="0" applyFont="1" applyFill="1" applyBorder="1" applyAlignment="1" applyProtection="1">
      <alignment horizontal="left"/>
    </xf>
    <xf numFmtId="14" fontId="0" fillId="5" borderId="1" xfId="0" applyNumberFormat="1" applyFont="1" applyFill="1" applyBorder="1" applyAlignment="1" applyProtection="1">
      <alignment horizontal="center"/>
    </xf>
    <xf numFmtId="164" fontId="0" fillId="5" borderId="0" xfId="0" applyNumberFormat="1" applyFill="1" applyAlignment="1" applyProtection="1">
      <alignment horizontal="center"/>
    </xf>
    <xf numFmtId="2" fontId="0" fillId="5" borderId="2" xfId="0" applyNumberFormat="1" applyFill="1" applyBorder="1" applyAlignment="1" applyProtection="1">
      <alignment horizontal="center"/>
    </xf>
    <xf numFmtId="0" fontId="0" fillId="5" borderId="1" xfId="0" applyFill="1" applyBorder="1" applyProtection="1"/>
    <xf numFmtId="164" fontId="0" fillId="5" borderId="0" xfId="0" applyNumberFormat="1" applyFill="1" applyProtection="1"/>
    <xf numFmtId="0" fontId="0" fillId="0" borderId="0" xfId="0" applyFill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 applyProtection="1">
      <alignment horizontal="center" wrapText="1"/>
    </xf>
    <xf numFmtId="0" fontId="7" fillId="3" borderId="0" xfId="6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right" vertical="center" indent="2"/>
    </xf>
    <xf numFmtId="164" fontId="0" fillId="0" borderId="0" xfId="0" applyNumberFormat="1" applyFont="1" applyFill="1" applyBorder="1" applyAlignment="1" applyProtection="1">
      <alignment horizontal="right" vertical="center" indent="4"/>
    </xf>
    <xf numFmtId="0" fontId="0" fillId="0" borderId="0" xfId="0" applyFont="1" applyFill="1" applyBorder="1" applyAlignment="1" applyProtection="1">
      <alignment horizontal="left" vertical="center" indent="1"/>
    </xf>
    <xf numFmtId="10" fontId="0" fillId="0" borderId="0" xfId="0" applyNumberFormat="1" applyFill="1" applyAlignment="1" applyProtection="1">
      <alignment horizontal="center"/>
    </xf>
    <xf numFmtId="10" fontId="0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164" fontId="6" fillId="0" borderId="0" xfId="0" applyNumberFormat="1" applyFont="1" applyFill="1" applyBorder="1" applyAlignment="1" applyProtection="1">
      <alignment horizontal="right" vertical="center" indent="2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2" fillId="0" borderId="10" xfId="0" applyFont="1" applyBorder="1" applyAlignment="1">
      <alignment horizontal="center"/>
    </xf>
    <xf numFmtId="0" fontId="0" fillId="0" borderId="11" xfId="0" applyBorder="1"/>
    <xf numFmtId="0" fontId="18" fillId="0" borderId="11" xfId="0" applyFont="1" applyBorder="1"/>
    <xf numFmtId="0" fontId="0" fillId="0" borderId="12" xfId="0" applyBorder="1"/>
    <xf numFmtId="0" fontId="19" fillId="7" borderId="7" xfId="0" applyFont="1" applyFill="1" applyBorder="1" applyAlignment="1" applyProtection="1">
      <alignment wrapText="1"/>
    </xf>
    <xf numFmtId="0" fontId="19" fillId="7" borderId="16" xfId="0" applyFont="1" applyFill="1" applyBorder="1" applyAlignment="1" applyProtection="1">
      <alignment wrapText="1"/>
    </xf>
    <xf numFmtId="0" fontId="19" fillId="7" borderId="17" xfId="0" applyFont="1" applyFill="1" applyBorder="1" applyAlignment="1" applyProtection="1">
      <alignment wrapText="1"/>
    </xf>
    <xf numFmtId="0" fontId="10" fillId="0" borderId="0" xfId="0" applyFont="1"/>
    <xf numFmtId="165" fontId="19" fillId="6" borderId="20" xfId="0" applyNumberFormat="1" applyFont="1" applyFill="1" applyBorder="1" applyAlignment="1" applyProtection="1">
      <alignment horizontal="center" wrapText="1"/>
    </xf>
    <xf numFmtId="0" fontId="19" fillId="7" borderId="25" xfId="0" applyFont="1" applyFill="1" applyBorder="1" applyAlignment="1" applyProtection="1">
      <alignment wrapText="1"/>
    </xf>
    <xf numFmtId="0" fontId="19" fillId="7" borderId="26" xfId="0" applyFont="1" applyFill="1" applyBorder="1" applyAlignment="1" applyProtection="1">
      <alignment wrapText="1"/>
    </xf>
    <xf numFmtId="0" fontId="19" fillId="7" borderId="27" xfId="0" applyFont="1" applyFill="1" applyBorder="1" applyAlignment="1" applyProtection="1">
      <alignment wrapText="1"/>
    </xf>
    <xf numFmtId="0" fontId="19" fillId="0" borderId="28" xfId="0" applyFont="1" applyBorder="1" applyAlignment="1" applyProtection="1">
      <alignment horizontal="center" wrapText="1"/>
    </xf>
    <xf numFmtId="0" fontId="19" fillId="0" borderId="26" xfId="0" applyFont="1" applyBorder="1" applyAlignment="1" applyProtection="1">
      <alignment horizontal="center" wrapText="1"/>
    </xf>
    <xf numFmtId="0" fontId="19" fillId="7" borderId="13" xfId="0" applyFont="1" applyFill="1" applyBorder="1" applyAlignment="1" applyProtection="1">
      <alignment wrapText="1"/>
    </xf>
    <xf numFmtId="0" fontId="19" fillId="7" borderId="14" xfId="0" applyFont="1" applyFill="1" applyBorder="1" applyAlignment="1" applyProtection="1">
      <alignment wrapText="1"/>
    </xf>
    <xf numFmtId="0" fontId="19" fillId="7" borderId="15" xfId="0" applyFont="1" applyFill="1" applyBorder="1" applyAlignment="1" applyProtection="1">
      <alignment wrapText="1"/>
    </xf>
    <xf numFmtId="0" fontId="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21" xfId="0" applyFont="1" applyBorder="1" applyAlignment="1" applyProtection="1">
      <alignment horizontal="center" wrapText="1"/>
      <protection locked="0"/>
    </xf>
    <xf numFmtId="165" fontId="19" fillId="0" borderId="15" xfId="0" applyNumberFormat="1" applyFont="1" applyBorder="1" applyAlignment="1" applyProtection="1">
      <alignment horizontal="center" wrapText="1"/>
      <protection locked="0"/>
    </xf>
    <xf numFmtId="0" fontId="19" fillId="0" borderId="22" xfId="0" applyFont="1" applyBorder="1" applyAlignment="1" applyProtection="1">
      <alignment horizontal="center" wrapText="1"/>
      <protection locked="0"/>
    </xf>
    <xf numFmtId="165" fontId="19" fillId="0" borderId="17" xfId="0" applyNumberFormat="1" applyFont="1" applyBorder="1" applyAlignment="1" applyProtection="1">
      <alignment horizontal="center" wrapText="1"/>
      <protection locked="0"/>
    </xf>
    <xf numFmtId="0" fontId="24" fillId="7" borderId="23" xfId="0" applyFont="1" applyFill="1" applyBorder="1" applyProtection="1"/>
    <xf numFmtId="0" fontId="19" fillId="7" borderId="7" xfId="0" applyFont="1" applyFill="1" applyBorder="1" applyProtection="1"/>
    <xf numFmtId="1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</xf>
    <xf numFmtId="0" fontId="26" fillId="0" borderId="0" xfId="0" applyFont="1" applyFill="1" applyProtection="1">
      <protection locked="0"/>
    </xf>
    <xf numFmtId="0" fontId="5" fillId="0" borderId="0" xfId="0" applyFont="1"/>
    <xf numFmtId="0" fontId="5" fillId="0" borderId="0" xfId="0" applyFont="1" applyFill="1" applyProtection="1">
      <protection locked="0"/>
    </xf>
    <xf numFmtId="166" fontId="19" fillId="9" borderId="16" xfId="0" applyNumberFormat="1" applyFont="1" applyFill="1" applyBorder="1" applyAlignment="1" applyProtection="1">
      <alignment horizontal="center" wrapText="1"/>
    </xf>
    <xf numFmtId="1" fontId="19" fillId="9" borderId="7" xfId="0" applyNumberFormat="1" applyFont="1" applyFill="1" applyBorder="1" applyAlignment="1" applyProtection="1">
      <alignment horizontal="center" wrapText="1"/>
    </xf>
    <xf numFmtId="165" fontId="19" fillId="9" borderId="7" xfId="6" applyNumberFormat="1" applyFont="1" applyFill="1" applyBorder="1" applyAlignment="1" applyProtection="1">
      <alignment horizontal="center" wrapText="1"/>
    </xf>
    <xf numFmtId="1" fontId="19" fillId="9" borderId="7" xfId="6" applyNumberFormat="1" applyFont="1" applyFill="1" applyBorder="1" applyAlignment="1" applyProtection="1">
      <alignment horizontal="center" wrapText="1"/>
    </xf>
    <xf numFmtId="1" fontId="19" fillId="9" borderId="17" xfId="6" applyNumberFormat="1" applyFont="1" applyFill="1" applyBorder="1" applyAlignment="1" applyProtection="1">
      <alignment horizontal="center" wrapText="1"/>
    </xf>
    <xf numFmtId="165" fontId="19" fillId="9" borderId="7" xfId="0" applyNumberFormat="1" applyFont="1" applyFill="1" applyBorder="1" applyAlignment="1" applyProtection="1">
      <alignment horizontal="center" wrapText="1"/>
    </xf>
    <xf numFmtId="165" fontId="19" fillId="9" borderId="7" xfId="0" quotePrefix="1" applyNumberFormat="1" applyFont="1" applyFill="1" applyBorder="1" applyAlignment="1" applyProtection="1">
      <alignment horizontal="center" wrapText="1"/>
    </xf>
    <xf numFmtId="166" fontId="19" fillId="9" borderId="18" xfId="0" applyNumberFormat="1" applyFont="1" applyFill="1" applyBorder="1" applyAlignment="1" applyProtection="1">
      <alignment horizontal="center" wrapText="1"/>
    </xf>
    <xf numFmtId="1" fontId="19" fillId="9" borderId="19" xfId="0" applyNumberFormat="1" applyFont="1" applyFill="1" applyBorder="1" applyAlignment="1" applyProtection="1">
      <alignment horizontal="center" wrapText="1"/>
    </xf>
    <xf numFmtId="165" fontId="19" fillId="9" borderId="19" xfId="0" applyNumberFormat="1" applyFont="1" applyFill="1" applyBorder="1" applyAlignment="1" applyProtection="1">
      <alignment horizontal="center" wrapText="1"/>
    </xf>
    <xf numFmtId="1" fontId="19" fillId="9" borderId="19" xfId="6" applyNumberFormat="1" applyFont="1" applyFill="1" applyBorder="1" applyAlignment="1" applyProtection="1">
      <alignment horizontal="center" wrapText="1"/>
    </xf>
    <xf numFmtId="165" fontId="19" fillId="9" borderId="19" xfId="0" quotePrefix="1" applyNumberFormat="1" applyFont="1" applyFill="1" applyBorder="1" applyAlignment="1" applyProtection="1">
      <alignment horizontal="center" wrapText="1"/>
    </xf>
    <xf numFmtId="1" fontId="19" fillId="9" borderId="20" xfId="6" applyNumberFormat="1" applyFont="1" applyFill="1" applyBorder="1" applyAlignment="1" applyProtection="1">
      <alignment horizontal="center" wrapText="1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Fill="1"/>
    <xf numFmtId="1" fontId="0" fillId="0" borderId="0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2" fontId="19" fillId="0" borderId="14" xfId="0" applyNumberFormat="1" applyFont="1" applyBorder="1" applyAlignment="1" applyProtection="1">
      <alignment horizontal="center" wrapText="1"/>
      <protection locked="0"/>
    </xf>
    <xf numFmtId="2" fontId="19" fillId="0" borderId="7" xfId="0" applyNumberFormat="1" applyFont="1" applyBorder="1" applyAlignment="1" applyProtection="1">
      <alignment horizontal="center" wrapText="1"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2" fontId="0" fillId="5" borderId="1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9" fillId="0" borderId="0" xfId="0" applyFont="1"/>
    <xf numFmtId="0" fontId="24" fillId="0" borderId="7" xfId="0" applyFont="1" applyBorder="1" applyAlignment="1">
      <alignment vertical="top"/>
    </xf>
    <xf numFmtId="0" fontId="5" fillId="0" borderId="7" xfId="0" applyFont="1" applyBorder="1" applyAlignment="1">
      <alignment wrapText="1"/>
    </xf>
    <xf numFmtId="0" fontId="24" fillId="0" borderId="7" xfId="0" applyFont="1" applyBorder="1" applyAlignment="1">
      <alignment vertical="top" wrapText="1"/>
    </xf>
    <xf numFmtId="0" fontId="24" fillId="0" borderId="7" xfId="0" applyFont="1" applyBorder="1" applyAlignment="1">
      <alignment horizontal="center" vertical="top"/>
    </xf>
    <xf numFmtId="0" fontId="24" fillId="0" borderId="7" xfId="0" applyFont="1" applyBorder="1" applyAlignment="1" applyProtection="1">
      <alignment horizontal="center" vertical="top"/>
    </xf>
    <xf numFmtId="0" fontId="17" fillId="2" borderId="0" xfId="0" applyFont="1" applyFill="1" applyBorder="1" applyAlignment="1" applyProtection="1">
      <alignment horizontal="center" vertical="center"/>
    </xf>
    <xf numFmtId="0" fontId="30" fillId="0" borderId="0" xfId="0" applyFont="1" applyFill="1"/>
    <xf numFmtId="2" fontId="10" fillId="5" borderId="0" xfId="1" applyNumberFormat="1" applyFont="1" applyFill="1" applyBorder="1" applyAlignment="1" applyProtection="1">
      <alignment horizontal="center" vertical="center"/>
    </xf>
    <xf numFmtId="10" fontId="10" fillId="5" borderId="0" xfId="0" applyNumberFormat="1" applyFont="1" applyFill="1" applyBorder="1" applyAlignment="1" applyProtection="1">
      <alignment horizontal="center"/>
      <protection locked="0"/>
    </xf>
    <xf numFmtId="0" fontId="24" fillId="0" borderId="33" xfId="0" applyFont="1" applyFill="1" applyBorder="1" applyProtection="1"/>
    <xf numFmtId="0" fontId="0" fillId="0" borderId="33" xfId="0" applyBorder="1"/>
    <xf numFmtId="0" fontId="0" fillId="2" borderId="0" xfId="0" applyFill="1"/>
    <xf numFmtId="0" fontId="17" fillId="2" borderId="0" xfId="2" applyFont="1" applyFill="1" applyAlignment="1" applyProtection="1">
      <alignment horizontal="left" vertical="top"/>
    </xf>
    <xf numFmtId="0" fontId="32" fillId="2" borderId="0" xfId="0" applyFont="1" applyFill="1" applyAlignment="1">
      <alignment horizontal="left"/>
    </xf>
    <xf numFmtId="0" fontId="17" fillId="0" borderId="0" xfId="2" applyFont="1" applyFill="1" applyAlignment="1" applyProtection="1">
      <alignment horizontal="left" vertical="top"/>
    </xf>
    <xf numFmtId="0" fontId="0" fillId="2" borderId="0" xfId="0" applyFill="1" applyAlignment="1">
      <alignment vertical="center"/>
    </xf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9" fillId="0" borderId="34" xfId="0" applyFont="1" applyBorder="1" applyAlignment="1" applyProtection="1">
      <alignment horizontal="center" wrapText="1"/>
    </xf>
    <xf numFmtId="2" fontId="19" fillId="0" borderId="35" xfId="0" applyNumberFormat="1" applyFont="1" applyBorder="1" applyAlignment="1" applyProtection="1">
      <alignment horizontal="center" wrapText="1"/>
      <protection locked="0"/>
    </xf>
    <xf numFmtId="0" fontId="19" fillId="9" borderId="7" xfId="0" applyFont="1" applyFill="1" applyBorder="1" applyAlignment="1" applyProtection="1">
      <alignment horizontal="center" wrapText="1"/>
    </xf>
    <xf numFmtId="0" fontId="19" fillId="9" borderId="7" xfId="6" applyFont="1" applyFill="1" applyBorder="1" applyAlignment="1" applyProtection="1">
      <alignment horizontal="center" wrapText="1"/>
    </xf>
    <xf numFmtId="2" fontId="19" fillId="0" borderId="36" xfId="0" applyNumberFormat="1" applyFont="1" applyBorder="1" applyAlignment="1" applyProtection="1">
      <alignment horizontal="center" wrapText="1"/>
      <protection locked="0"/>
    </xf>
    <xf numFmtId="0" fontId="19" fillId="9" borderId="16" xfId="0" applyFont="1" applyFill="1" applyBorder="1" applyAlignment="1" applyProtection="1">
      <alignment horizontal="center" wrapText="1"/>
    </xf>
    <xf numFmtId="0" fontId="19" fillId="9" borderId="17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14" fontId="24" fillId="7" borderId="24" xfId="0" applyNumberFormat="1" applyFont="1" applyFill="1" applyBorder="1" applyAlignment="1" applyProtection="1">
      <alignment horizontal="left"/>
    </xf>
    <xf numFmtId="14" fontId="24" fillId="7" borderId="31" xfId="0" applyNumberFormat="1" applyFont="1" applyFill="1" applyBorder="1" applyAlignment="1" applyProtection="1">
      <alignment horizontal="left"/>
    </xf>
    <xf numFmtId="0" fontId="24" fillId="7" borderId="16" xfId="3" applyFont="1" applyFill="1" applyBorder="1" applyAlignment="1" applyProtection="1">
      <alignment horizontal="right"/>
    </xf>
    <xf numFmtId="0" fontId="24" fillId="7" borderId="7" xfId="3" applyFont="1" applyFill="1" applyBorder="1" applyAlignment="1" applyProtection="1">
      <alignment horizontal="right"/>
    </xf>
    <xf numFmtId="0" fontId="24" fillId="7" borderId="13" xfId="3" applyFont="1" applyFill="1" applyBorder="1" applyAlignment="1" applyProtection="1">
      <alignment horizontal="right" vertical="center"/>
    </xf>
    <xf numFmtId="0" fontId="24" fillId="7" borderId="14" xfId="3" applyFont="1" applyFill="1" applyBorder="1" applyAlignment="1" applyProtection="1">
      <alignment horizontal="right" vertical="center"/>
    </xf>
    <xf numFmtId="0" fontId="24" fillId="7" borderId="18" xfId="3" applyFont="1" applyFill="1" applyBorder="1" applyAlignment="1" applyProtection="1">
      <alignment horizontal="right"/>
    </xf>
    <xf numFmtId="0" fontId="24" fillId="7" borderId="19" xfId="3" applyFont="1" applyFill="1" applyBorder="1" applyAlignment="1" applyProtection="1">
      <alignment horizontal="right"/>
    </xf>
    <xf numFmtId="0" fontId="24" fillId="8" borderId="24" xfId="0" applyFont="1" applyFill="1" applyBorder="1" applyAlignment="1" applyProtection="1">
      <alignment horizontal="center" vertical="center"/>
    </xf>
    <xf numFmtId="0" fontId="24" fillId="8" borderId="30" xfId="0" applyFont="1" applyFill="1" applyBorder="1" applyAlignment="1" applyProtection="1">
      <alignment horizontal="center" vertical="center"/>
    </xf>
    <xf numFmtId="0" fontId="24" fillId="9" borderId="23" xfId="0" applyFont="1" applyFill="1" applyBorder="1" applyAlignment="1" applyProtection="1">
      <alignment horizontal="center" vertical="center"/>
    </xf>
    <xf numFmtId="0" fontId="24" fillId="9" borderId="24" xfId="0" applyFont="1" applyFill="1" applyBorder="1" applyAlignment="1" applyProtection="1">
      <alignment horizontal="center" vertical="center"/>
    </xf>
    <xf numFmtId="0" fontId="24" fillId="9" borderId="31" xfId="0" applyFont="1" applyFill="1" applyBorder="1" applyAlignment="1" applyProtection="1">
      <alignment horizontal="center" vertical="center"/>
    </xf>
    <xf numFmtId="0" fontId="24" fillId="9" borderId="29" xfId="0" applyFont="1" applyFill="1" applyBorder="1" applyAlignment="1" applyProtection="1">
      <alignment horizontal="center" vertical="center"/>
    </xf>
    <xf numFmtId="0" fontId="24" fillId="9" borderId="30" xfId="0" applyFont="1" applyFill="1" applyBorder="1" applyAlignment="1" applyProtection="1">
      <alignment horizontal="center" vertical="center"/>
    </xf>
    <xf numFmtId="0" fontId="24" fillId="9" borderId="32" xfId="0" applyFont="1" applyFill="1" applyBorder="1" applyAlignment="1" applyProtection="1">
      <alignment horizontal="center" vertical="center"/>
    </xf>
    <xf numFmtId="0" fontId="23" fillId="2" borderId="22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</xf>
    <xf numFmtId="0" fontId="23" fillId="2" borderId="36" xfId="0" applyFont="1" applyFill="1" applyBorder="1" applyAlignment="1" applyProtection="1">
      <alignment horizontal="center" vertical="center"/>
    </xf>
    <xf numFmtId="0" fontId="23" fillId="2" borderId="16" xfId="0" applyFont="1" applyFill="1" applyBorder="1" applyAlignment="1" applyProtection="1">
      <alignment horizontal="center" vertical="center"/>
    </xf>
    <xf numFmtId="0" fontId="23" fillId="2" borderId="17" xfId="0" applyFont="1" applyFill="1" applyBorder="1" applyAlignment="1" applyProtection="1">
      <alignment horizontal="center" vertical="center"/>
    </xf>
    <xf numFmtId="0" fontId="24" fillId="7" borderId="16" xfId="0" applyFont="1" applyFill="1" applyBorder="1" applyAlignment="1" applyProtection="1">
      <alignment horizontal="center" wrapText="1"/>
    </xf>
    <xf numFmtId="0" fontId="24" fillId="7" borderId="7" xfId="0" applyFont="1" applyFill="1" applyBorder="1" applyAlignment="1" applyProtection="1">
      <alignment horizontal="center" wrapText="1"/>
    </xf>
    <xf numFmtId="0" fontId="24" fillId="7" borderId="17" xfId="0" applyFont="1" applyFill="1" applyBorder="1" applyAlignment="1" applyProtection="1">
      <alignment horizont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</cellXfs>
  <cellStyles count="19">
    <cellStyle name="20% - Accent1" xfId="6" builtinId="30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eading 1" xfId="4" builtinId="16" customBuiltin="1"/>
    <cellStyle name="Heading 2" xfId="5" builtinId="17" customBuiltin="1"/>
    <cellStyle name="Heading 4" xfId="3" builtinId="19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 customBuiltin="1"/>
    <cellStyle name="Percent" xfId="1" builtinId="5"/>
    <cellStyle name="Title" xfId="2" builtinId="15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&quot;$&quot;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numFmt numFmtId="2" formatCode="0.00"/>
      <protection locked="1" hidden="0"/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  <protection locked="1" hidden="0"/>
    </dxf>
    <dxf>
      <numFmt numFmtId="2" formatCode="0.00"/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  <protection locked="1" hidden="0"/>
    </dxf>
    <dxf>
      <numFmt numFmtId="14" formatCode="0.00%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>
        <left style="thick">
          <color theme="0"/>
        </left>
      </border>
      <protection locked="1" hidden="0"/>
    </dxf>
    <dxf>
      <numFmt numFmtId="14" formatCode="0.00%"/>
      <alignment horizontal="center" vertical="bottom" textRotation="0" wrapText="0" indent="0" justifyLastLine="0" shrinkToFit="0" readingOrder="0"/>
      <protection locked="1" hidden="0"/>
    </dxf>
    <dxf>
      <font>
        <color theme="3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numFmt numFmtId="14" formatCode="0.00%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>
        <left style="thick">
          <color theme="0"/>
        </lef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color theme="3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/>
        </bottom>
      </border>
    </dxf>
  </dxfs>
  <tableStyles count="1" defaultTableStyle="TableStyleMedium2" defaultPivotStyle="PivotStyleLight16">
    <tableStyle name="College Loan Calculator" pivot="0" count="2">
      <tableStyleElement type="headerRow" dxfId="53"/>
      <tableStyleElement type="totalRow" dxfId="5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externalLink" Target="externalLinks/externalLink3.xml"/><Relationship Id="rId9" Type="http://schemas.openxmlformats.org/officeDocument/2006/relationships/externalLink" Target="externalLinks/externalLink4.xml"/><Relationship Id="rId1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Relationship Id="rId2" Type="http://schemas.openxmlformats.org/officeDocument/2006/relationships/chartUserShapes" Target="../drawings/drawing6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Relationship Id="rId2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Relationship Id="rId2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Relationship Id="rId2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Relationship Id="rId2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Relationship Id="rId2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Relationship Id="rId2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Relationship Id="rId2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Relationship Id="rId2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Relationship Id="rId2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8506186726659"/>
          <c:y val="0.101522859380797"/>
          <c:w val="0.83928367649696"/>
          <c:h val="0.868320072556375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ymbol val="square"/>
            <c:size val="5"/>
            <c:spPr>
              <a:solidFill>
                <a:srgbClr val="3366FF"/>
              </a:solidFill>
              <a:ln>
                <a:noFill/>
              </a:ln>
              <a:effectLst/>
            </c:spPr>
          </c:marker>
          <c:trendline>
            <c:spPr>
              <a:ln w="12700">
                <a:solidFill>
                  <a:srgbClr val="3366FF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0266567222575439"/>
                  <c:y val="0.440667848456116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rgbClr val="3366FF"/>
                        </a:solidFill>
                      </a:defRPr>
                    </a:pPr>
                    <a:r>
                      <a:rPr lang="en-US" sz="1200" baseline="0">
                        <a:solidFill>
                          <a:srgbClr val="3366FF"/>
                        </a:solidFill>
                      </a:rPr>
                      <a:t>4 Week: y = -12.948x</a:t>
                    </a:r>
                    <a:r>
                      <a:rPr lang="en-US" sz="1200" baseline="30000">
                        <a:solidFill>
                          <a:srgbClr val="3366FF"/>
                        </a:solidFill>
                      </a:rPr>
                      <a:t>2</a:t>
                    </a:r>
                    <a:r>
                      <a:rPr lang="en-US" sz="1200" baseline="0">
                        <a:solidFill>
                          <a:srgbClr val="3366FF"/>
                        </a:solidFill>
                      </a:rPr>
                      <a:t> + 77.68x - 90.368</a:t>
                    </a:r>
                    <a:br>
                      <a:rPr lang="en-US" sz="1200" baseline="0">
                        <a:solidFill>
                          <a:srgbClr val="3366FF"/>
                        </a:solidFill>
                      </a:rPr>
                    </a:br>
                    <a:r>
                      <a:rPr lang="en-US" sz="1200" baseline="0">
                        <a:solidFill>
                          <a:srgbClr val="3366FF"/>
                        </a:solidFill>
                      </a:rPr>
                      <a:t>(</a:t>
                    </a:r>
                    <a:r>
                      <a:rPr lang="en-US" sz="1200" i="1" baseline="0">
                        <a:solidFill>
                          <a:srgbClr val="3366FF"/>
                        </a:solidFill>
                      </a:rPr>
                      <a:t>R²</a:t>
                    </a:r>
                    <a:r>
                      <a:rPr lang="en-US" sz="1200" baseline="0">
                        <a:solidFill>
                          <a:srgbClr val="3366FF"/>
                        </a:solidFill>
                      </a:rPr>
                      <a:t> = 0.9523, P ≤ 0.0001)</a:t>
                    </a:r>
                    <a:endParaRPr lang="en-US" sz="1200">
                      <a:solidFill>
                        <a:srgbClr val="3366FF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Lit>
              <c:formatCode>General</c:formatCode>
              <c:ptCount val="27"/>
              <c:pt idx="0">
                <c:v>0.706676667</c:v>
              </c:pt>
              <c:pt idx="1">
                <c:v>0.706676667</c:v>
              </c:pt>
              <c:pt idx="2">
                <c:v>0.706676667</c:v>
              </c:pt>
              <c:pt idx="3">
                <c:v>1.07369</c:v>
              </c:pt>
              <c:pt idx="4">
                <c:v>1.07369</c:v>
              </c:pt>
              <c:pt idx="5">
                <c:v>1.07369</c:v>
              </c:pt>
              <c:pt idx="6">
                <c:v>3.470499999999999</c:v>
              </c:pt>
              <c:pt idx="7">
                <c:v>3.470499999999999</c:v>
              </c:pt>
              <c:pt idx="8">
                <c:v>3.470499999999999</c:v>
              </c:pt>
              <c:pt idx="9">
                <c:v>2.433466667</c:v>
              </c:pt>
              <c:pt idx="10">
                <c:v>2.433466667</c:v>
              </c:pt>
              <c:pt idx="11">
                <c:v>2.433466667</c:v>
              </c:pt>
              <c:pt idx="12">
                <c:v>0.85</c:v>
              </c:pt>
              <c:pt idx="13">
                <c:v>0.85</c:v>
              </c:pt>
              <c:pt idx="14">
                <c:v>0.85</c:v>
              </c:pt>
              <c:pt idx="15">
                <c:v>2.957866667</c:v>
              </c:pt>
              <c:pt idx="16">
                <c:v>2.957866667</c:v>
              </c:pt>
              <c:pt idx="17">
                <c:v>2.957866667</c:v>
              </c:pt>
              <c:pt idx="18">
                <c:v>3.0668</c:v>
              </c:pt>
              <c:pt idx="19">
                <c:v>3.0668</c:v>
              </c:pt>
              <c:pt idx="20">
                <c:v>3.0668</c:v>
              </c:pt>
              <c:pt idx="21">
                <c:v>2.357866667</c:v>
              </c:pt>
              <c:pt idx="22">
                <c:v>2.357866667</c:v>
              </c:pt>
              <c:pt idx="23">
                <c:v>2.357866667</c:v>
              </c:pt>
              <c:pt idx="24">
                <c:v>2.017966667</c:v>
              </c:pt>
              <c:pt idx="25">
                <c:v>2.017966667</c:v>
              </c:pt>
              <c:pt idx="26">
                <c:v>2.017966667</c:v>
              </c:pt>
            </c:numLit>
          </c:xVal>
          <c:yVal>
            <c:numLit>
              <c:formatCode>General</c:formatCode>
              <c:ptCount val="27"/>
              <c:pt idx="0">
                <c:v>-39.00416501700249</c:v>
              </c:pt>
              <c:pt idx="1">
                <c:v>-39.00416501700249</c:v>
              </c:pt>
              <c:pt idx="2">
                <c:v>-43.48995059339244</c:v>
              </c:pt>
              <c:pt idx="3">
                <c:v>-26.25835514285625</c:v>
              </c:pt>
              <c:pt idx="4">
                <c:v>-22.58876708671332</c:v>
              </c:pt>
              <c:pt idx="5">
                <c:v>-17.60595081758543</c:v>
              </c:pt>
              <c:pt idx="6">
                <c:v>22.1197714066177</c:v>
              </c:pt>
              <c:pt idx="7">
                <c:v>27.08447389905394</c:v>
              </c:pt>
              <c:pt idx="10">
                <c:v>31.07774916017238</c:v>
              </c:pt>
              <c:pt idx="11">
                <c:v>22.15632019859786</c:v>
              </c:pt>
              <c:pt idx="12">
                <c:v>-32.42745098039212</c:v>
              </c:pt>
              <c:pt idx="13">
                <c:v>-36.90980392156855</c:v>
              </c:pt>
              <c:pt idx="14">
                <c:v>-36.80392156862732</c:v>
              </c:pt>
              <c:pt idx="16">
                <c:v>14.05630183757932</c:v>
              </c:pt>
              <c:pt idx="17">
                <c:v>17.90366930919767</c:v>
              </c:pt>
              <c:pt idx="18">
                <c:v>34.68327464023302</c:v>
              </c:pt>
              <c:pt idx="19">
                <c:v>14.4602408590931</c:v>
              </c:pt>
              <c:pt idx="20">
                <c:v>38.98743532889876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5A-42D5-92C3-6DB120696787}"/>
            </c:ext>
          </c:extLst>
        </c:ser>
        <c:ser>
          <c:idx val="1"/>
          <c:order val="1"/>
          <c:spPr>
            <a:ln w="47625">
              <a:noFill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6350">
                <a:noFill/>
              </a:ln>
              <a:effectLst/>
            </c:spPr>
          </c:marker>
          <c:trendline>
            <c:spPr>
              <a:ln>
                <a:solidFill>
                  <a:schemeClr val="accent2"/>
                </a:solidFill>
              </a:ln>
            </c:spPr>
            <c:trendlineType val="poly"/>
            <c:order val="2"/>
            <c:dispRSqr val="0"/>
            <c:dispEq val="0"/>
          </c:trendline>
          <c:trendline>
            <c:spPr>
              <a:ln w="12700">
                <a:solidFill>
                  <a:srgbClr val="FF6600"/>
                </a:solidFill>
                <a:prstDash val="dash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84778207071942"/>
                  <c:y val="-0.12724805210867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chemeClr val="accent6"/>
                        </a:solidFill>
                      </a:defRPr>
                    </a:pPr>
                    <a:r>
                      <a:rPr lang="en-US" sz="1200" baseline="0">
                        <a:solidFill>
                          <a:schemeClr val="accent6"/>
                        </a:solidFill>
                      </a:rPr>
                      <a:t>10 Week:  y = -15.814x</a:t>
                    </a:r>
                    <a:r>
                      <a:rPr lang="en-US" sz="1200" baseline="30000">
                        <a:solidFill>
                          <a:schemeClr val="accent6"/>
                        </a:solidFill>
                      </a:rPr>
                      <a:t>2</a:t>
                    </a:r>
                    <a:r>
                      <a:rPr lang="en-US" sz="1200" baseline="0">
                        <a:solidFill>
                          <a:schemeClr val="accent6"/>
                        </a:solidFill>
                      </a:rPr>
                      <a:t> + 94.624x - 106.89</a:t>
                    </a:r>
                    <a:br>
                      <a:rPr lang="en-US" sz="1200" baseline="0">
                        <a:solidFill>
                          <a:schemeClr val="accent6"/>
                        </a:solidFill>
                      </a:rPr>
                    </a:br>
                    <a:r>
                      <a:rPr lang="en-US" sz="1200" baseline="0">
                        <a:solidFill>
                          <a:schemeClr val="accent6"/>
                        </a:solidFill>
                      </a:rPr>
                      <a:t>(</a:t>
                    </a:r>
                    <a:r>
                      <a:rPr lang="en-US" sz="1200" i="1" baseline="0">
                        <a:solidFill>
                          <a:schemeClr val="accent6"/>
                        </a:solidFill>
                      </a:rPr>
                      <a:t>R²</a:t>
                    </a:r>
                    <a:r>
                      <a:rPr lang="en-US" sz="1200" baseline="0">
                        <a:solidFill>
                          <a:schemeClr val="accent6"/>
                        </a:solidFill>
                      </a:rPr>
                      <a:t> = 0.9471, </a:t>
                    </a:r>
                    <a:r>
                      <a:rPr lang="en-US" sz="1200" i="1" baseline="0">
                        <a:solidFill>
                          <a:schemeClr val="accent6"/>
                        </a:solidFill>
                      </a:rPr>
                      <a:t>P</a:t>
                    </a:r>
                    <a:r>
                      <a:rPr lang="en-US" sz="1200" baseline="0">
                        <a:solidFill>
                          <a:schemeClr val="accent6"/>
                        </a:solidFill>
                      </a:rPr>
                      <a:t> ≤ 0.0001)</a:t>
                    </a:r>
                    <a:endParaRPr lang="en-US" sz="1200">
                      <a:solidFill>
                        <a:schemeClr val="accent6"/>
                      </a:solidFill>
                    </a:endParaRPr>
                  </a:p>
                </c:rich>
              </c:tx>
              <c:numFmt formatCode="General" sourceLinked="0"/>
              <c:spPr>
                <a:noFill/>
              </c:spPr>
            </c:trendlineLbl>
          </c:trendline>
          <c:xVal>
            <c:numLit>
              <c:formatCode>General</c:formatCode>
              <c:ptCount val="27"/>
              <c:pt idx="0">
                <c:v>0.706676667</c:v>
              </c:pt>
              <c:pt idx="1">
                <c:v>0.706676667</c:v>
              </c:pt>
              <c:pt idx="2">
                <c:v>0.706676667</c:v>
              </c:pt>
              <c:pt idx="3">
                <c:v>1.07369</c:v>
              </c:pt>
              <c:pt idx="4">
                <c:v>1.07369</c:v>
              </c:pt>
              <c:pt idx="5">
                <c:v>1.07369</c:v>
              </c:pt>
              <c:pt idx="6">
                <c:v>3.470499999999999</c:v>
              </c:pt>
              <c:pt idx="7">
                <c:v>3.470499999999999</c:v>
              </c:pt>
              <c:pt idx="8">
                <c:v>3.470499999999999</c:v>
              </c:pt>
              <c:pt idx="9">
                <c:v>2.433466667</c:v>
              </c:pt>
              <c:pt idx="10">
                <c:v>2.433466667</c:v>
              </c:pt>
              <c:pt idx="11">
                <c:v>2.433466667</c:v>
              </c:pt>
              <c:pt idx="12">
                <c:v>0.85</c:v>
              </c:pt>
              <c:pt idx="13">
                <c:v>0.85</c:v>
              </c:pt>
              <c:pt idx="14">
                <c:v>0.85</c:v>
              </c:pt>
              <c:pt idx="15">
                <c:v>2.957866667</c:v>
              </c:pt>
              <c:pt idx="16">
                <c:v>2.957866667</c:v>
              </c:pt>
              <c:pt idx="17">
                <c:v>2.957866667</c:v>
              </c:pt>
              <c:pt idx="18">
                <c:v>3.0668</c:v>
              </c:pt>
              <c:pt idx="19">
                <c:v>3.0668</c:v>
              </c:pt>
              <c:pt idx="20">
                <c:v>3.0668</c:v>
              </c:pt>
              <c:pt idx="21">
                <c:v>2.357866667</c:v>
              </c:pt>
              <c:pt idx="22">
                <c:v>2.357866667</c:v>
              </c:pt>
              <c:pt idx="23">
                <c:v>2.357866667</c:v>
              </c:pt>
              <c:pt idx="24">
                <c:v>2.017966667</c:v>
              </c:pt>
              <c:pt idx="25">
                <c:v>2.017966667</c:v>
              </c:pt>
              <c:pt idx="26">
                <c:v>2.017966667</c:v>
              </c:pt>
            </c:numLit>
          </c:xVal>
          <c:yVal>
            <c:numLit>
              <c:formatCode>General</c:formatCode>
              <c:ptCount val="27"/>
              <c:pt idx="0">
                <c:v>-51.74455076025126</c:v>
              </c:pt>
              <c:pt idx="1">
                <c:v>-48.98515584733</c:v>
              </c:pt>
              <c:pt idx="2">
                <c:v>-51.74455076025126</c:v>
              </c:pt>
              <c:pt idx="3">
                <c:v>-35.23984266097912</c:v>
              </c:pt>
              <c:pt idx="4">
                <c:v>-26.03793149481384</c:v>
              </c:pt>
              <c:pt idx="5">
                <c:v>-27.93792124977104</c:v>
              </c:pt>
              <c:pt idx="6">
                <c:v>28.60202660519618</c:v>
              </c:pt>
              <c:pt idx="7">
                <c:v>40.5311434471498</c:v>
              </c:pt>
              <c:pt idx="8">
                <c:v>24.67175719156702</c:v>
              </c:pt>
              <c:pt idx="10">
                <c:v>42.93600350077584</c:v>
              </c:pt>
              <c:pt idx="11">
                <c:v>31.79140868558004</c:v>
              </c:pt>
              <c:pt idx="12">
                <c:v>-26.14901960784315</c:v>
              </c:pt>
              <c:pt idx="13">
                <c:v>-35.91372549019609</c:v>
              </c:pt>
              <c:pt idx="14">
                <c:v>-27.0078431372549</c:v>
              </c:pt>
              <c:pt idx="16">
                <c:v>20.55986296198163</c:v>
              </c:pt>
              <c:pt idx="17">
                <c:v>29.75906058085118</c:v>
              </c:pt>
              <c:pt idx="18">
                <c:v>44.82957262727707</c:v>
              </c:pt>
              <c:pt idx="19">
                <c:v>29.09982174688057</c:v>
              </c:pt>
              <c:pt idx="20">
                <c:v>39.46567540541712</c:v>
              </c:pt>
              <c:pt idx="24">
                <c:v>7.83627083238304</c:v>
              </c:pt>
              <c:pt idx="26">
                <c:v>27.51449478393853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5A-42D5-92C3-6DB120696787}"/>
            </c:ext>
          </c:extLst>
        </c:ser>
        <c:ser>
          <c:idx val="2"/>
          <c:order val="2"/>
          <c:tx>
            <c:v>VK</c:v>
          </c:tx>
          <c:spPr>
            <a:ln w="47625">
              <a:noFill/>
            </a:ln>
          </c:spPr>
          <c:marker>
            <c:symbol val="none"/>
          </c:marker>
          <c:trendline>
            <c:spPr>
              <a:ln>
                <a:solidFill>
                  <a:schemeClr val="tx1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407926672209452"/>
                  <c:y val="0.107784804386363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aseline="0"/>
                      <a:t>VK Equation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Lit>
              <c:formatCode>General</c:formatCode>
              <c:ptCount val="27"/>
              <c:pt idx="0">
                <c:v>0.706676667</c:v>
              </c:pt>
              <c:pt idx="1">
                <c:v>0.706676667</c:v>
              </c:pt>
              <c:pt idx="2">
                <c:v>0.706676667</c:v>
              </c:pt>
              <c:pt idx="3">
                <c:v>1.07369</c:v>
              </c:pt>
              <c:pt idx="4">
                <c:v>1.07369</c:v>
              </c:pt>
              <c:pt idx="5">
                <c:v>1.07369</c:v>
              </c:pt>
              <c:pt idx="6">
                <c:v>3.470499999999999</c:v>
              </c:pt>
              <c:pt idx="7">
                <c:v>3.470499999999999</c:v>
              </c:pt>
              <c:pt idx="8">
                <c:v>3.470499999999999</c:v>
              </c:pt>
              <c:pt idx="9">
                <c:v>2.433466667</c:v>
              </c:pt>
              <c:pt idx="10">
                <c:v>2.433466667</c:v>
              </c:pt>
              <c:pt idx="11">
                <c:v>2.433466667</c:v>
              </c:pt>
              <c:pt idx="12">
                <c:v>0.85</c:v>
              </c:pt>
              <c:pt idx="13">
                <c:v>0.85</c:v>
              </c:pt>
              <c:pt idx="14">
                <c:v>0.85</c:v>
              </c:pt>
              <c:pt idx="15">
                <c:v>2.957866667</c:v>
              </c:pt>
              <c:pt idx="16">
                <c:v>2.957866667</c:v>
              </c:pt>
              <c:pt idx="17">
                <c:v>2.957866667</c:v>
              </c:pt>
              <c:pt idx="18">
                <c:v>3.0668</c:v>
              </c:pt>
              <c:pt idx="19">
                <c:v>3.0668</c:v>
              </c:pt>
              <c:pt idx="20">
                <c:v>3.0668</c:v>
              </c:pt>
              <c:pt idx="21">
                <c:v>2.357866667</c:v>
              </c:pt>
              <c:pt idx="22">
                <c:v>2.357866667</c:v>
              </c:pt>
              <c:pt idx="23">
                <c:v>2.357866667</c:v>
              </c:pt>
              <c:pt idx="24">
                <c:v>2.017966667</c:v>
              </c:pt>
              <c:pt idx="25">
                <c:v>2.017966667</c:v>
              </c:pt>
              <c:pt idx="26">
                <c:v>2.017966667</c:v>
              </c:pt>
            </c:numLit>
          </c:xVal>
          <c:yVal>
            <c:numLit>
              <c:formatCode>General</c:formatCode>
              <c:ptCount val="27"/>
              <c:pt idx="0">
                <c:v>-8.301402403252842</c:v>
              </c:pt>
              <c:pt idx="1">
                <c:v>-8.301402403252842</c:v>
              </c:pt>
              <c:pt idx="2">
                <c:v>-8.301402403252842</c:v>
              </c:pt>
              <c:pt idx="3">
                <c:v>2.198721253817474</c:v>
              </c:pt>
              <c:pt idx="4">
                <c:v>2.198721253817474</c:v>
              </c:pt>
              <c:pt idx="5">
                <c:v>2.198721253817474</c:v>
              </c:pt>
              <c:pt idx="6">
                <c:v>46.59079266905766</c:v>
              </c:pt>
              <c:pt idx="7">
                <c:v>46.59079266905766</c:v>
              </c:pt>
              <c:pt idx="8">
                <c:v>46.59079266905766</c:v>
              </c:pt>
              <c:pt idx="9">
                <c:v>30.32264578056892</c:v>
              </c:pt>
              <c:pt idx="10">
                <c:v>30.32264578056892</c:v>
              </c:pt>
              <c:pt idx="11">
                <c:v>30.32264578056892</c:v>
              </c:pt>
              <c:pt idx="12">
                <c:v>-3.93521841276339</c:v>
              </c:pt>
              <c:pt idx="13">
                <c:v>-3.93521841276339</c:v>
              </c:pt>
              <c:pt idx="14">
                <c:v>-3.93521841276339</c:v>
              </c:pt>
              <c:pt idx="15">
                <c:v>38.90789118199204</c:v>
              </c:pt>
              <c:pt idx="16">
                <c:v>38.90789118199204</c:v>
              </c:pt>
              <c:pt idx="17">
                <c:v>38.90789118199204</c:v>
              </c:pt>
              <c:pt idx="18">
                <c:v>40.59302625779942</c:v>
              </c:pt>
              <c:pt idx="19">
                <c:v>40.59302625779942</c:v>
              </c:pt>
              <c:pt idx="20">
                <c:v>40.59302625779942</c:v>
              </c:pt>
              <c:pt idx="21">
                <c:v>29.0112620022342</c:v>
              </c:pt>
              <c:pt idx="22">
                <c:v>29.0112620022342</c:v>
              </c:pt>
              <c:pt idx="23">
                <c:v>29.0112620022342</c:v>
              </c:pt>
              <c:pt idx="24">
                <c:v>22.83718902896901</c:v>
              </c:pt>
              <c:pt idx="25">
                <c:v>22.83718902896901</c:v>
              </c:pt>
              <c:pt idx="26">
                <c:v>22.83718902896901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5A-42D5-92C3-6DB120696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552520"/>
        <c:axId val="-2137625176"/>
      </c:scatterChart>
      <c:valAx>
        <c:axId val="-2145552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-2137625176"/>
        <c:crosses val="autoZero"/>
        <c:crossBetween val="midCat"/>
      </c:valAx>
      <c:valAx>
        <c:axId val="-21376251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-21455525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1.0" l="0.75" r="0.75" t="1.0" header="0.5" footer="0.5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5205599300087"/>
          <c:y val="0.157407407407407"/>
          <c:w val="0.857030621172353"/>
          <c:h val="0.759259259259259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spPr>
              <a:ln>
                <a:solidFill>
                  <a:srgbClr val="3366FF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0758817596147589"/>
                  <c:y val="0.183624487728377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3366FF"/>
                        </a:solidFill>
                      </a:defRPr>
                    </a:pPr>
                    <a:r>
                      <a:rPr lang="en-US">
                        <a:solidFill>
                          <a:srgbClr val="3366FF"/>
                        </a:solidFill>
                      </a:rPr>
                      <a:t>4 Wk: y = -2.096x2 + 17.779x - 35.27
(R² = 0.88832, P=0.0069)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[4]Mokulele!$C$6:$C$20</c:f>
              <c:numCache>
                <c:formatCode>General</c:formatCode>
                <c:ptCount val="15"/>
                <c:pt idx="0">
                  <c:v>1.18</c:v>
                </c:pt>
                <c:pt idx="1">
                  <c:v>1.18</c:v>
                </c:pt>
                <c:pt idx="2">
                  <c:v>1.18</c:v>
                </c:pt>
                <c:pt idx="3">
                  <c:v>3.99</c:v>
                </c:pt>
                <c:pt idx="4">
                  <c:v>3.99</c:v>
                </c:pt>
                <c:pt idx="5">
                  <c:v>3.99</c:v>
                </c:pt>
                <c:pt idx="6">
                  <c:v>0.55</c:v>
                </c:pt>
                <c:pt idx="7">
                  <c:v>0.55</c:v>
                </c:pt>
                <c:pt idx="8">
                  <c:v>0.55</c:v>
                </c:pt>
                <c:pt idx="9">
                  <c:v>3.81</c:v>
                </c:pt>
                <c:pt idx="10">
                  <c:v>3.81</c:v>
                </c:pt>
                <c:pt idx="11">
                  <c:v>3.81</c:v>
                </c:pt>
                <c:pt idx="12">
                  <c:v>4.63</c:v>
                </c:pt>
                <c:pt idx="13">
                  <c:v>4.63</c:v>
                </c:pt>
                <c:pt idx="14">
                  <c:v>4.63</c:v>
                </c:pt>
              </c:numCache>
            </c:numRef>
          </c:xVal>
          <c:yVal>
            <c:numRef>
              <c:f>[4]Mokulele!$D$6:$D$20</c:f>
              <c:numCache>
                <c:formatCode>General</c:formatCode>
                <c:ptCount val="15"/>
                <c:pt idx="0">
                  <c:v>-7.73870056497175</c:v>
                </c:pt>
                <c:pt idx="1">
                  <c:v>-12.67090395480226</c:v>
                </c:pt>
                <c:pt idx="2">
                  <c:v>-15.56073446327683</c:v>
                </c:pt>
                <c:pt idx="3">
                  <c:v>-3.160818713450293</c:v>
                </c:pt>
                <c:pt idx="4">
                  <c:v>-0.797410192147033</c:v>
                </c:pt>
                <c:pt idx="5">
                  <c:v>-2.361319966583124</c:v>
                </c:pt>
                <c:pt idx="6">
                  <c:v>-28.36666666666666</c:v>
                </c:pt>
                <c:pt idx="7">
                  <c:v>-30.49393939393939</c:v>
                </c:pt>
                <c:pt idx="8">
                  <c:v>-30.31212121212121</c:v>
                </c:pt>
                <c:pt idx="9">
                  <c:v>-1.716972878390201</c:v>
                </c:pt>
                <c:pt idx="10">
                  <c:v>3.611111111111112</c:v>
                </c:pt>
                <c:pt idx="11">
                  <c:v>2.388013998250218</c:v>
                </c:pt>
                <c:pt idx="12">
                  <c:v>3.902447804175667</c:v>
                </c:pt>
                <c:pt idx="13">
                  <c:v>6.928365730741541</c:v>
                </c:pt>
                <c:pt idx="14">
                  <c:v>5.714542836573075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trendline>
            <c:spPr>
              <a:ln>
                <a:solidFill>
                  <a:srgbClr val="FF6600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95452537182852"/>
                  <c:y val="-0.371986730825313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FF6600"/>
                        </a:solidFill>
                      </a:defRPr>
                    </a:pPr>
                    <a:r>
                      <a:rPr lang="en-US">
                        <a:solidFill>
                          <a:srgbClr val="FF6600"/>
                        </a:solidFill>
                      </a:rPr>
                      <a:t>10 Wk: y = -0.8505x2 + 10.622x - 20.349
(R² = 0.8956, P=0.0383)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[4]Mokulele!$C$6:$C$20</c:f>
              <c:numCache>
                <c:formatCode>General</c:formatCode>
                <c:ptCount val="15"/>
                <c:pt idx="0">
                  <c:v>1.18</c:v>
                </c:pt>
                <c:pt idx="1">
                  <c:v>1.18</c:v>
                </c:pt>
                <c:pt idx="2">
                  <c:v>1.18</c:v>
                </c:pt>
                <c:pt idx="3">
                  <c:v>3.99</c:v>
                </c:pt>
                <c:pt idx="4">
                  <c:v>3.99</c:v>
                </c:pt>
                <c:pt idx="5">
                  <c:v>3.99</c:v>
                </c:pt>
                <c:pt idx="6">
                  <c:v>0.55</c:v>
                </c:pt>
                <c:pt idx="7">
                  <c:v>0.55</c:v>
                </c:pt>
                <c:pt idx="8">
                  <c:v>0.55</c:v>
                </c:pt>
                <c:pt idx="9">
                  <c:v>3.81</c:v>
                </c:pt>
                <c:pt idx="10">
                  <c:v>3.81</c:v>
                </c:pt>
                <c:pt idx="11">
                  <c:v>3.81</c:v>
                </c:pt>
                <c:pt idx="12">
                  <c:v>4.63</c:v>
                </c:pt>
                <c:pt idx="13">
                  <c:v>4.63</c:v>
                </c:pt>
                <c:pt idx="14">
                  <c:v>4.63</c:v>
                </c:pt>
              </c:numCache>
            </c:numRef>
          </c:xVal>
          <c:yVal>
            <c:numRef>
              <c:f>[4]Mokulele!$E$6:$E$20</c:f>
              <c:numCache>
                <c:formatCode>General</c:formatCode>
                <c:ptCount val="15"/>
                <c:pt idx="0">
                  <c:v>-13.64406779661017</c:v>
                </c:pt>
                <c:pt idx="1">
                  <c:v>-12.26271186440678</c:v>
                </c:pt>
                <c:pt idx="2">
                  <c:v>-8.728813559322035</c:v>
                </c:pt>
                <c:pt idx="3">
                  <c:v>8.508771929824562</c:v>
                </c:pt>
                <c:pt idx="4">
                  <c:v>13.55137844611529</c:v>
                </c:pt>
                <c:pt idx="5">
                  <c:v>6.691729323308272</c:v>
                </c:pt>
                <c:pt idx="6">
                  <c:v>-12.56363636363636</c:v>
                </c:pt>
                <c:pt idx="7">
                  <c:v>-6.254545454545453</c:v>
                </c:pt>
                <c:pt idx="8">
                  <c:v>-20.23636363636363</c:v>
                </c:pt>
                <c:pt idx="9">
                  <c:v>7.813648293963254</c:v>
                </c:pt>
                <c:pt idx="10">
                  <c:v>11.48293963254593</c:v>
                </c:pt>
                <c:pt idx="11">
                  <c:v>7.538057742782153</c:v>
                </c:pt>
                <c:pt idx="12">
                  <c:v>9.933045356371488</c:v>
                </c:pt>
                <c:pt idx="13">
                  <c:v>8.736501079913607</c:v>
                </c:pt>
                <c:pt idx="14">
                  <c:v>8.736501079913607</c:v>
                </c:pt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[4]Mokulele!$C$6:$C$20</c:f>
              <c:numCache>
                <c:formatCode>General</c:formatCode>
                <c:ptCount val="15"/>
                <c:pt idx="0">
                  <c:v>1.18</c:v>
                </c:pt>
                <c:pt idx="1">
                  <c:v>1.18</c:v>
                </c:pt>
                <c:pt idx="2">
                  <c:v>1.18</c:v>
                </c:pt>
                <c:pt idx="3">
                  <c:v>3.99</c:v>
                </c:pt>
                <c:pt idx="4">
                  <c:v>3.99</c:v>
                </c:pt>
                <c:pt idx="5">
                  <c:v>3.99</c:v>
                </c:pt>
                <c:pt idx="6">
                  <c:v>0.55</c:v>
                </c:pt>
                <c:pt idx="7">
                  <c:v>0.55</c:v>
                </c:pt>
                <c:pt idx="8">
                  <c:v>0.55</c:v>
                </c:pt>
                <c:pt idx="9">
                  <c:v>3.81</c:v>
                </c:pt>
                <c:pt idx="10">
                  <c:v>3.81</c:v>
                </c:pt>
                <c:pt idx="11">
                  <c:v>3.81</c:v>
                </c:pt>
                <c:pt idx="12">
                  <c:v>4.63</c:v>
                </c:pt>
                <c:pt idx="13">
                  <c:v>4.63</c:v>
                </c:pt>
                <c:pt idx="14">
                  <c:v>4.63</c:v>
                </c:pt>
              </c:numCache>
            </c:numRef>
          </c:xVal>
          <c:yVal>
            <c:numRef>
              <c:f>[4]Mokulele!$F$6:$F$20</c:f>
              <c:numCache>
                <c:formatCode>General</c:formatCode>
                <c:ptCount val="15"/>
                <c:pt idx="0">
                  <c:v>4.888215470730806</c:v>
                </c:pt>
                <c:pt idx="1">
                  <c:v>4.888215470730806</c:v>
                </c:pt>
                <c:pt idx="2">
                  <c:v>4.888215470730806</c:v>
                </c:pt>
                <c:pt idx="3">
                  <c:v>53.81662664842673</c:v>
                </c:pt>
                <c:pt idx="4">
                  <c:v>53.81662664842673</c:v>
                </c:pt>
                <c:pt idx="5">
                  <c:v>53.81662664842673</c:v>
                </c:pt>
                <c:pt idx="6">
                  <c:v>-13.61837019909908</c:v>
                </c:pt>
                <c:pt idx="7">
                  <c:v>-13.61837019909908</c:v>
                </c:pt>
                <c:pt idx="8">
                  <c:v>-13.61837019909908</c:v>
                </c:pt>
                <c:pt idx="9">
                  <c:v>51.36938526677847</c:v>
                </c:pt>
                <c:pt idx="10">
                  <c:v>51.36938526677847</c:v>
                </c:pt>
                <c:pt idx="11">
                  <c:v>51.36938526677847</c:v>
                </c:pt>
                <c:pt idx="12">
                  <c:v>62.09888747949756</c:v>
                </c:pt>
                <c:pt idx="13">
                  <c:v>62.09888747949756</c:v>
                </c:pt>
                <c:pt idx="14">
                  <c:v>62.09888747949756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709992"/>
        <c:axId val="-2133706584"/>
      </c:scatterChart>
      <c:valAx>
        <c:axId val="-213370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3706584"/>
        <c:crosses val="autoZero"/>
        <c:crossBetween val="midCat"/>
      </c:valAx>
      <c:valAx>
        <c:axId val="-21337065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370999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199341607723"/>
          <c:y val="0.124138629141326"/>
          <c:w val="0.843864330912124"/>
          <c:h val="0.815676012047493"/>
        </c:manualLayout>
      </c:layout>
      <c:scatterChart>
        <c:scatterStyle val="lineMarker"/>
        <c:varyColors val="0"/>
        <c:ser>
          <c:idx val="0"/>
          <c:order val="0"/>
          <c:tx>
            <c:v>4 Week</c:v>
          </c:tx>
          <c:spPr>
            <a:ln w="31750">
              <a:noFill/>
            </a:ln>
          </c:spPr>
          <c:marker>
            <c:symbol val="square"/>
            <c:size val="5"/>
            <c:spPr>
              <a:solidFill>
                <a:srgbClr val="3366FF"/>
              </a:solidFill>
            </c:spPr>
          </c:marker>
          <c:trendline>
            <c:spPr>
              <a:ln>
                <a:solidFill>
                  <a:schemeClr val="accent1"/>
                </a:solidFill>
                <a:prstDash val="dash"/>
              </a:ln>
            </c:spPr>
            <c:trendlineType val="poly"/>
            <c:order val="2"/>
            <c:dispRSqr val="0"/>
            <c:dispEq val="0"/>
          </c:trendline>
          <c:trendline>
            <c:spPr>
              <a:ln w="19050">
                <a:solidFill>
                  <a:srgbClr val="3366FF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0292808586092514"/>
                  <c:y val="0.51133966661247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3366FF"/>
                        </a:solidFill>
                      </a:defRPr>
                    </a:pPr>
                    <a:r>
                      <a:rPr lang="en-US" baseline="0">
                        <a:solidFill>
                          <a:srgbClr val="3366FF"/>
                        </a:solidFill>
                      </a:rPr>
                      <a:t>4-Week: y = -15.852x</a:t>
                    </a:r>
                    <a:r>
                      <a:rPr lang="en-US" baseline="30000">
                        <a:solidFill>
                          <a:srgbClr val="3366FF"/>
                        </a:solidFill>
                      </a:rPr>
                      <a:t>2</a:t>
                    </a:r>
                    <a:r>
                      <a:rPr lang="en-US" baseline="0">
                        <a:solidFill>
                          <a:srgbClr val="3366FF"/>
                        </a:solidFill>
                      </a:rPr>
                      <a:t> + 98.617x - 115.12
</a:t>
                    </a:r>
                    <a:r>
                      <a:rPr lang="en-US" i="1" baseline="0">
                        <a:solidFill>
                          <a:srgbClr val="3366FF"/>
                        </a:solidFill>
                      </a:rPr>
                      <a:t>(R</a:t>
                    </a:r>
                    <a:r>
                      <a:rPr lang="en-US" baseline="0">
                        <a:solidFill>
                          <a:srgbClr val="3366FF"/>
                        </a:solidFill>
                      </a:rPr>
                      <a:t>² = 0.95775, </a:t>
                    </a:r>
                    <a:r>
                      <a:rPr lang="en-US" i="1" baseline="0">
                        <a:solidFill>
                          <a:srgbClr val="3366FF"/>
                        </a:solidFill>
                      </a:rPr>
                      <a:t>P=</a:t>
                    </a:r>
                    <a:r>
                      <a:rPr lang="en-US" i="0" baseline="0">
                        <a:solidFill>
                          <a:srgbClr val="3366FF"/>
                        </a:solidFill>
                      </a:rPr>
                      <a:t>0.0053)</a:t>
                    </a:r>
                    <a:endParaRPr lang="en-US">
                      <a:solidFill>
                        <a:srgbClr val="3366FF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Lit>
              <c:formatCode>General</c:formatCode>
              <c:ptCount val="9"/>
              <c:pt idx="0">
                <c:v>0.706676667</c:v>
              </c:pt>
              <c:pt idx="1">
                <c:v>0.706676667</c:v>
              </c:pt>
              <c:pt idx="2">
                <c:v>0.706676667</c:v>
              </c:pt>
              <c:pt idx="3">
                <c:v>3.470499999999999</c:v>
              </c:pt>
              <c:pt idx="4">
                <c:v>3.470499999999999</c:v>
              </c:pt>
              <c:pt idx="5">
                <c:v>2.957866667</c:v>
              </c:pt>
              <c:pt idx="6">
                <c:v>2.957866667</c:v>
              </c:pt>
              <c:pt idx="7">
                <c:v>2.957866667</c:v>
              </c:pt>
              <c:pt idx="8">
                <c:v>2.433466667</c:v>
              </c:pt>
            </c:numLit>
          </c:xVal>
          <c:yVal>
            <c:numLit>
              <c:formatCode>General</c:formatCode>
              <c:ptCount val="9"/>
              <c:pt idx="0">
                <c:v>-59.1029371947081</c:v>
              </c:pt>
              <c:pt idx="1">
                <c:v>-51.7445507602512</c:v>
              </c:pt>
              <c:pt idx="2">
                <c:v>-50.7539987402282</c:v>
              </c:pt>
              <c:pt idx="3">
                <c:v>40.6089420352495</c:v>
              </c:pt>
              <c:pt idx="4">
                <c:v>43.1157854295731</c:v>
              </c:pt>
              <c:pt idx="5">
                <c:v>26.8211323446154</c:v>
              </c:pt>
              <c:pt idx="6">
                <c:v>33.34610529736</c:v>
              </c:pt>
              <c:pt idx="7">
                <c:v>25.97592859425979</c:v>
              </c:pt>
              <c:pt idx="8">
                <c:v>48.7096597379993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B3-4686-A87F-6BC7E39CD7F7}"/>
            </c:ext>
          </c:extLst>
        </c:ser>
        <c:ser>
          <c:idx val="1"/>
          <c:order val="1"/>
          <c:tx>
            <c:v>10 Week</c:v>
          </c:tx>
          <c:spPr>
            <a:ln w="31750">
              <a:noFill/>
            </a:ln>
          </c:spPr>
          <c:marker>
            <c:symbol val="circle"/>
            <c:size val="5"/>
            <c:spPr>
              <a:solidFill>
                <a:srgbClr val="FF6600"/>
              </a:solidFill>
            </c:spPr>
          </c:marker>
          <c:trendline>
            <c:spPr>
              <a:ln cap="rnd">
                <a:solidFill>
                  <a:schemeClr val="accent2"/>
                </a:solidFill>
                <a:prstDash val="lgDash"/>
              </a:ln>
            </c:spPr>
            <c:trendlineType val="poly"/>
            <c:order val="2"/>
            <c:dispRSqr val="0"/>
            <c:dispEq val="0"/>
          </c:trendline>
          <c:trendline>
            <c:spPr>
              <a:ln w="19050">
                <a:solidFill>
                  <a:srgbClr val="FF66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12647643643475"/>
                  <c:y val="-0.126814236715986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FF6600"/>
                        </a:solidFill>
                      </a:defRPr>
                    </a:pPr>
                    <a:r>
                      <a:rPr lang="en-US" baseline="0">
                        <a:solidFill>
                          <a:srgbClr val="FF6600"/>
                        </a:solidFill>
                      </a:rPr>
                      <a:t>10-Week: y = -22.557x</a:t>
                    </a:r>
                    <a:r>
                      <a:rPr lang="en-US" baseline="30000">
                        <a:solidFill>
                          <a:srgbClr val="FF6600"/>
                        </a:solidFill>
                      </a:rPr>
                      <a:t>2</a:t>
                    </a:r>
                    <a:r>
                      <a:rPr lang="en-US" baseline="0">
                        <a:solidFill>
                          <a:srgbClr val="FF6600"/>
                        </a:solidFill>
                      </a:rPr>
                      <a:t> + 122.5x - 129.12</a:t>
                    </a:r>
                    <a:br>
                      <a:rPr lang="en-US" baseline="0">
                        <a:solidFill>
                          <a:srgbClr val="FF6600"/>
                        </a:solidFill>
                      </a:rPr>
                    </a:br>
                    <a:r>
                      <a:rPr lang="en-US" baseline="0">
                        <a:solidFill>
                          <a:srgbClr val="FF6600"/>
                        </a:solidFill>
                      </a:rPr>
                      <a:t>(R² = 0.9789, </a:t>
                    </a:r>
                    <a:r>
                      <a:rPr lang="en-US" i="1" baseline="0">
                        <a:solidFill>
                          <a:srgbClr val="FF6600"/>
                        </a:solidFill>
                      </a:rPr>
                      <a:t>P </a:t>
                    </a:r>
                    <a:r>
                      <a:rPr lang="en-US" i="0" baseline="0">
                        <a:solidFill>
                          <a:srgbClr val="FF6600"/>
                        </a:solidFill>
                      </a:rPr>
                      <a:t>= 0.0002)</a:t>
                    </a:r>
                    <a:endParaRPr lang="en-US" i="0">
                      <a:solidFill>
                        <a:srgbClr val="FF6600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Lit>
              <c:formatCode>General</c:formatCode>
              <c:ptCount val="9"/>
              <c:pt idx="0">
                <c:v>0.706676667</c:v>
              </c:pt>
              <c:pt idx="1">
                <c:v>0.706676667</c:v>
              </c:pt>
              <c:pt idx="2">
                <c:v>0.706676667</c:v>
              </c:pt>
              <c:pt idx="3">
                <c:v>3.470499999999999</c:v>
              </c:pt>
              <c:pt idx="4">
                <c:v>3.470499999999999</c:v>
              </c:pt>
              <c:pt idx="5">
                <c:v>2.957866667</c:v>
              </c:pt>
              <c:pt idx="6">
                <c:v>2.957866667</c:v>
              </c:pt>
              <c:pt idx="7">
                <c:v>2.957866667</c:v>
              </c:pt>
              <c:pt idx="8">
                <c:v>2.433466667</c:v>
              </c:pt>
            </c:numLit>
          </c:xVal>
          <c:yVal>
            <c:numLit>
              <c:formatCode>General</c:formatCode>
              <c:ptCount val="9"/>
              <c:pt idx="0">
                <c:v>-65.56510989676315</c:v>
              </c:pt>
              <c:pt idx="1">
                <c:v>-48.7257255563715</c:v>
              </c:pt>
              <c:pt idx="2">
                <c:v>-47.59366610491659</c:v>
              </c:pt>
              <c:pt idx="3">
                <c:v>27.4216011141526</c:v>
              </c:pt>
              <c:pt idx="4">
                <c:v>24.48254334149732</c:v>
              </c:pt>
              <c:pt idx="5">
                <c:v>37.312928232362</c:v>
              </c:pt>
              <c:pt idx="6">
                <c:v>26.9000180279819</c:v>
              </c:pt>
              <c:pt idx="7">
                <c:v>35.55490443162236</c:v>
              </c:pt>
              <c:pt idx="8">
                <c:v>40.4635362390467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B3-4686-A87F-6BC7E39CD7F7}"/>
            </c:ext>
          </c:extLst>
        </c:ser>
        <c:ser>
          <c:idx val="2"/>
          <c:order val="2"/>
          <c:tx>
            <c:v>VK</c:v>
          </c:tx>
          <c:spPr>
            <a:ln w="31750">
              <a:noFill/>
            </a:ln>
          </c:spPr>
          <c:marker>
            <c:spPr>
              <a:noFill/>
              <a:ln>
                <a:noFill/>
              </a:ln>
            </c:spPr>
          </c:marker>
          <c:trendline>
            <c:spPr>
              <a:ln w="19050">
                <a:solidFill>
                  <a:sysClr val="windowText" lastClr="000000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0266292294858491"/>
                  <c:y val="0.21333455025181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VK Equation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Lit>
              <c:formatCode>General</c:formatCode>
              <c:ptCount val="9"/>
              <c:pt idx="0">
                <c:v>0.706676667</c:v>
              </c:pt>
              <c:pt idx="1">
                <c:v>0.706676667</c:v>
              </c:pt>
              <c:pt idx="2">
                <c:v>0.706676667</c:v>
              </c:pt>
              <c:pt idx="3">
                <c:v>3.470499999999999</c:v>
              </c:pt>
              <c:pt idx="4">
                <c:v>3.470499999999999</c:v>
              </c:pt>
              <c:pt idx="5">
                <c:v>2.957866667</c:v>
              </c:pt>
              <c:pt idx="6">
                <c:v>2.957866667</c:v>
              </c:pt>
              <c:pt idx="7">
                <c:v>2.957866667</c:v>
              </c:pt>
              <c:pt idx="8">
                <c:v>2.433466667</c:v>
              </c:pt>
            </c:numLit>
          </c:xVal>
          <c:yVal>
            <c:numLit>
              <c:formatCode>General</c:formatCode>
              <c:ptCount val="9"/>
              <c:pt idx="0">
                <c:v>-8.301402403252842</c:v>
              </c:pt>
              <c:pt idx="1">
                <c:v>-8.301402403252842</c:v>
              </c:pt>
              <c:pt idx="2">
                <c:v>-8.301402403252842</c:v>
              </c:pt>
              <c:pt idx="3">
                <c:v>46.59079266905766</c:v>
              </c:pt>
              <c:pt idx="4">
                <c:v>46.59079266905766</c:v>
              </c:pt>
              <c:pt idx="5">
                <c:v>38.90789118199204</c:v>
              </c:pt>
              <c:pt idx="6">
                <c:v>38.90789118199204</c:v>
              </c:pt>
              <c:pt idx="7">
                <c:v>38.90789118199204</c:v>
              </c:pt>
              <c:pt idx="8">
                <c:v>30.32264578056892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BB3-4686-A87F-6BC7E39CD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241688"/>
        <c:axId val="-2135160712"/>
      </c:scatterChart>
      <c:valAx>
        <c:axId val="-2135241688"/>
        <c:scaling>
          <c:orientation val="minMax"/>
          <c:max val="4.1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N</a:t>
                </a:r>
              </a:p>
            </c:rich>
          </c:tx>
          <c:layout>
            <c:manualLayout>
              <c:xMode val="edge"/>
              <c:yMode val="edge"/>
              <c:x val="0.510584709169418"/>
              <c:y val="0.54804326505450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5160712"/>
        <c:crosses val="autoZero"/>
        <c:crossBetween val="midCat"/>
        <c:majorUnit val="1.0"/>
      </c:valAx>
      <c:valAx>
        <c:axId val="-21351607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PAN 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524168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 orientation="portrait" horizontalDpi="-4" verticalDpi="-4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8998464669547"/>
          <c:y val="0.131478528419242"/>
          <c:w val="0.819402946972054"/>
          <c:h val="0.82601965195527"/>
        </c:manualLayout>
      </c:layout>
      <c:scatterChart>
        <c:scatterStyle val="lineMarker"/>
        <c:varyColors val="0"/>
        <c:ser>
          <c:idx val="0"/>
          <c:order val="0"/>
          <c:tx>
            <c:v>-93.30056646</c:v>
          </c:tx>
          <c:spPr>
            <a:ln w="31750">
              <a:noFill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4F81BD">
                    <a:lumMod val="75000"/>
                  </a:srgbClr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0126333585526009"/>
                  <c:y val="0.53058452987494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rgbClr val="3366FF"/>
                        </a:solidFill>
                      </a:defRPr>
                    </a:pPr>
                    <a:r>
                      <a:rPr lang="en-US" sz="1200" baseline="0">
                        <a:solidFill>
                          <a:srgbClr val="3366FF"/>
                        </a:solidFill>
                      </a:rPr>
                      <a:t>4 Week: y = -25.945x</a:t>
                    </a:r>
                    <a:r>
                      <a:rPr lang="en-US" sz="1200" baseline="30000">
                        <a:solidFill>
                          <a:srgbClr val="3366FF"/>
                        </a:solidFill>
                      </a:rPr>
                      <a:t>2</a:t>
                    </a:r>
                    <a:r>
                      <a:rPr lang="en-US" sz="1200" baseline="0">
                        <a:solidFill>
                          <a:srgbClr val="3366FF"/>
                        </a:solidFill>
                      </a:rPr>
                      <a:t> + 149.49x - 184.53</a:t>
                    </a:r>
                    <a:br>
                      <a:rPr lang="en-US" sz="1200" baseline="0">
                        <a:solidFill>
                          <a:srgbClr val="3366FF"/>
                        </a:solidFill>
                      </a:rPr>
                    </a:br>
                    <a:r>
                      <a:rPr lang="en-US" sz="1200" baseline="0">
                        <a:solidFill>
                          <a:srgbClr val="3366FF"/>
                        </a:solidFill>
                      </a:rPr>
                      <a:t>(</a:t>
                    </a:r>
                    <a:r>
                      <a:rPr lang="en-US" sz="1200" i="1" baseline="0">
                        <a:solidFill>
                          <a:srgbClr val="3366FF"/>
                        </a:solidFill>
                      </a:rPr>
                      <a:t>R²</a:t>
                    </a:r>
                    <a:r>
                      <a:rPr lang="en-US" sz="1200" baseline="0">
                        <a:solidFill>
                          <a:srgbClr val="3366FF"/>
                        </a:solidFill>
                      </a:rPr>
                      <a:t> = 0.967, </a:t>
                    </a:r>
                    <a:r>
                      <a:rPr lang="en-US" sz="1200" i="1" baseline="0">
                        <a:solidFill>
                          <a:srgbClr val="3366FF"/>
                        </a:solidFill>
                      </a:rPr>
                      <a:t>P</a:t>
                    </a:r>
                    <a:r>
                      <a:rPr lang="en-US" sz="1200" baseline="0">
                        <a:solidFill>
                          <a:srgbClr val="3366FF"/>
                        </a:solidFill>
                      </a:rPr>
                      <a:t> ≤ 0.0001)</a:t>
                    </a:r>
                    <a:endParaRPr lang="en-US" sz="1200">
                      <a:solidFill>
                        <a:srgbClr val="3366FF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Lit>
              <c:formatCode>General</c:formatCode>
              <c:ptCount val="15"/>
              <c:pt idx="0">
                <c:v>0.706676667</c:v>
              </c:pt>
              <c:pt idx="1">
                <c:v>0.706676667</c:v>
              </c:pt>
              <c:pt idx="2">
                <c:v>0.706676667</c:v>
              </c:pt>
              <c:pt idx="3">
                <c:v>3.470499999999999</c:v>
              </c:pt>
              <c:pt idx="4">
                <c:v>3.470499999999999</c:v>
              </c:pt>
              <c:pt idx="5">
                <c:v>3.470499999999999</c:v>
              </c:pt>
              <c:pt idx="6">
                <c:v>2.957866667</c:v>
              </c:pt>
              <c:pt idx="7">
                <c:v>2.957866667</c:v>
              </c:pt>
              <c:pt idx="8">
                <c:v>2.957866667</c:v>
              </c:pt>
              <c:pt idx="9">
                <c:v>2.433466667</c:v>
              </c:pt>
              <c:pt idx="10">
                <c:v>2.433466667</c:v>
              </c:pt>
              <c:pt idx="11">
                <c:v>2.433466667</c:v>
              </c:pt>
              <c:pt idx="12">
                <c:v>2.017966667</c:v>
              </c:pt>
              <c:pt idx="13">
                <c:v>2.017966667</c:v>
              </c:pt>
              <c:pt idx="14">
                <c:v>2.017966667</c:v>
              </c:pt>
            </c:numLit>
          </c:xVal>
          <c:yVal>
            <c:numLit>
              <c:formatCode>General</c:formatCode>
              <c:ptCount val="15"/>
              <c:pt idx="0">
                <c:v>-93.30056645740835</c:v>
              </c:pt>
              <c:pt idx="1">
                <c:v>-92.3100144373853</c:v>
              </c:pt>
              <c:pt idx="2">
                <c:v>-92.3100144373853</c:v>
              </c:pt>
              <c:pt idx="3">
                <c:v>26.41310089804543</c:v>
              </c:pt>
              <c:pt idx="4">
                <c:v>26.00970081160255</c:v>
              </c:pt>
              <c:pt idx="5">
                <c:v>29.00638716803535</c:v>
              </c:pt>
              <c:pt idx="6">
                <c:v>16.4871078236018</c:v>
              </c:pt>
              <c:pt idx="7">
                <c:v>15.70952037327472</c:v>
              </c:pt>
              <c:pt idx="8">
                <c:v>21.38928957566377</c:v>
              </c:pt>
              <c:pt idx="9">
                <c:v>46.54539476651343</c:v>
              </c:pt>
              <c:pt idx="10">
                <c:v>27.56013368752942</c:v>
              </c:pt>
              <c:pt idx="12">
                <c:v>14.35438312255664</c:v>
              </c:pt>
              <c:pt idx="14">
                <c:v>10.2908868646177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D0-47DD-9259-C12D35BECA0E}"/>
            </c:ext>
          </c:extLst>
        </c:ser>
        <c:ser>
          <c:idx val="1"/>
          <c:order val="1"/>
          <c:tx>
            <c:strRef>
              <c:f>'Macintosh HD:Users:Shelby:Library:Application Support:Microsoft:Office:Office 2011 AutoRecovery:[Graphs_PAN_N with poa 2.xlsx]Nitrate ADSC Readings'!$Y$74</c:f>
              <c:strCache>
                <c:ptCount val="1"/>
                <c:pt idx="0">
                  <c:v>#REF!</c:v>
                </c:pt>
              </c:strCache>
            </c:strRef>
          </c:tx>
          <c:spPr>
            <a:ln w="31750">
              <a:noFill/>
            </a:ln>
          </c:spPr>
          <c:marker>
            <c:symbol val="circl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poly"/>
            <c:order val="2"/>
            <c:dispRSqr val="0"/>
            <c:dispEq val="0"/>
          </c:trendline>
          <c:trendline>
            <c:spPr>
              <a:ln>
                <a:solidFill>
                  <a:schemeClr val="accent2"/>
                </a:solidFill>
              </a:ln>
            </c:spPr>
            <c:trendlineType val="poly"/>
            <c:order val="2"/>
            <c:dispRSqr val="0"/>
            <c:dispEq val="0"/>
          </c:trendline>
          <c:trendline>
            <c:spPr>
              <a:ln>
                <a:solidFill>
                  <a:schemeClr val="accent2"/>
                </a:solidFill>
                <a:prstDash val="dash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36485952199049"/>
                  <c:y val="0.343991038777057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aseline="0">
                        <a:solidFill>
                          <a:schemeClr val="accent2"/>
                        </a:solidFill>
                      </a:rPr>
                      <a:t>10 Week: y = -12.925x</a:t>
                    </a:r>
                    <a:r>
                      <a:rPr lang="en-US" sz="1200" baseline="30000">
                        <a:solidFill>
                          <a:schemeClr val="accent2"/>
                        </a:solidFill>
                      </a:rPr>
                      <a:t>2</a:t>
                    </a:r>
                    <a:r>
                      <a:rPr lang="en-US" sz="1200" baseline="0">
                        <a:solidFill>
                          <a:schemeClr val="accent2"/>
                        </a:solidFill>
                      </a:rPr>
                      <a:t> + 75.504x - 75.778</a:t>
                    </a:r>
                    <a:br>
                      <a:rPr lang="en-US" sz="1200" baseline="0">
                        <a:solidFill>
                          <a:schemeClr val="accent2"/>
                        </a:solidFill>
                      </a:rPr>
                    </a:br>
                    <a:r>
                      <a:rPr lang="en-US" sz="1200" baseline="0">
                        <a:solidFill>
                          <a:schemeClr val="accent2"/>
                        </a:solidFill>
                      </a:rPr>
                      <a:t>(</a:t>
                    </a:r>
                    <a:r>
                      <a:rPr lang="en-US" sz="1200" i="1" baseline="0">
                        <a:solidFill>
                          <a:schemeClr val="accent2"/>
                        </a:solidFill>
                      </a:rPr>
                      <a:t>R²</a:t>
                    </a:r>
                    <a:r>
                      <a:rPr lang="en-US" sz="1200" baseline="0">
                        <a:solidFill>
                          <a:schemeClr val="accent2"/>
                        </a:solidFill>
                      </a:rPr>
                      <a:t> = 0.9094, </a:t>
                    </a:r>
                    <a:r>
                      <a:rPr lang="en-US" sz="1200" i="1" baseline="0">
                        <a:solidFill>
                          <a:schemeClr val="accent2"/>
                        </a:solidFill>
                      </a:rPr>
                      <a:t>P</a:t>
                    </a:r>
                    <a:r>
                      <a:rPr lang="en-US" sz="1200" baseline="0">
                        <a:solidFill>
                          <a:schemeClr val="accent2"/>
                        </a:solidFill>
                      </a:rPr>
                      <a:t> ≤ 0.0001)</a:t>
                    </a:r>
                    <a:endParaRPr lang="en-US" sz="1200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  <c:spPr>
                <a:noFill/>
              </c:spPr>
            </c:trendlineLbl>
          </c:trendline>
          <c:xVal>
            <c:numLit>
              <c:formatCode>General</c:formatCode>
              <c:ptCount val="15"/>
              <c:pt idx="0">
                <c:v>0.706676667</c:v>
              </c:pt>
              <c:pt idx="1">
                <c:v>0.706676667</c:v>
              </c:pt>
              <c:pt idx="2">
                <c:v>0.706676667</c:v>
              </c:pt>
              <c:pt idx="3">
                <c:v>3.470499999999999</c:v>
              </c:pt>
              <c:pt idx="4">
                <c:v>3.470499999999999</c:v>
              </c:pt>
              <c:pt idx="5">
                <c:v>3.470499999999999</c:v>
              </c:pt>
              <c:pt idx="6">
                <c:v>2.957866667</c:v>
              </c:pt>
              <c:pt idx="7">
                <c:v>2.957866667</c:v>
              </c:pt>
              <c:pt idx="8">
                <c:v>2.957866667</c:v>
              </c:pt>
              <c:pt idx="9">
                <c:v>2.433466667</c:v>
              </c:pt>
              <c:pt idx="10">
                <c:v>2.433466667</c:v>
              </c:pt>
              <c:pt idx="11">
                <c:v>2.433466667</c:v>
              </c:pt>
              <c:pt idx="12">
                <c:v>2.017966667</c:v>
              </c:pt>
              <c:pt idx="13">
                <c:v>2.017966667</c:v>
              </c:pt>
              <c:pt idx="14">
                <c:v>2.017966667</c:v>
              </c:pt>
            </c:numLit>
          </c:xVal>
          <c:yVal>
            <c:numLit>
              <c:formatCode>General</c:formatCode>
              <c:ptCount val="15"/>
              <c:pt idx="1">
                <c:v>-20.75442327667318</c:v>
              </c:pt>
              <c:pt idx="2">
                <c:v>-39.00888193138348</c:v>
              </c:pt>
              <c:pt idx="3">
                <c:v>37.32411275992892</c:v>
              </c:pt>
              <c:pt idx="4">
                <c:v>31.47481150650723</c:v>
              </c:pt>
              <c:pt idx="5">
                <c:v>32.8867118090573</c:v>
              </c:pt>
              <c:pt idx="6">
                <c:v>24.58979444367678</c:v>
              </c:pt>
              <c:pt idx="7">
                <c:v>22.39226469275242</c:v>
              </c:pt>
              <c:pt idx="8">
                <c:v>35.30697799818484</c:v>
              </c:pt>
              <c:pt idx="9">
                <c:v>41.02514930126772</c:v>
              </c:pt>
              <c:pt idx="10">
                <c:v>26.68346939528197</c:v>
              </c:pt>
              <c:pt idx="11">
                <c:v>33.25845158713791</c:v>
              </c:pt>
              <c:pt idx="12">
                <c:v>29.1052049044244</c:v>
              </c:pt>
              <c:pt idx="13">
                <c:v>23.75328300372432</c:v>
              </c:pt>
              <c:pt idx="14">
                <c:v>25.48770213821047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7DD-9259-C12D35BECA0E}"/>
            </c:ext>
          </c:extLst>
        </c:ser>
        <c:ser>
          <c:idx val="2"/>
          <c:order val="2"/>
          <c:tx>
            <c:v>VK</c:v>
          </c:tx>
          <c:spPr>
            <a:ln w="31750">
              <a:noFill/>
            </a:ln>
          </c:spPr>
          <c:marker>
            <c:symbol val="none"/>
          </c:marker>
          <c:trendline>
            <c:spPr>
              <a:ln>
                <a:solidFill>
                  <a:schemeClr val="tx1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414445268809484"/>
                  <c:y val="-0.0138314695957123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aseline="0"/>
                      <a:t>VK Equation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Lit>
              <c:formatCode>General</c:formatCode>
              <c:ptCount val="15"/>
              <c:pt idx="0">
                <c:v>0.706676667</c:v>
              </c:pt>
              <c:pt idx="1">
                <c:v>0.706676667</c:v>
              </c:pt>
              <c:pt idx="2">
                <c:v>0.706676667</c:v>
              </c:pt>
              <c:pt idx="3">
                <c:v>3.470499999999999</c:v>
              </c:pt>
              <c:pt idx="4">
                <c:v>3.470499999999999</c:v>
              </c:pt>
              <c:pt idx="5">
                <c:v>3.470499999999999</c:v>
              </c:pt>
              <c:pt idx="6">
                <c:v>2.957866667</c:v>
              </c:pt>
              <c:pt idx="7">
                <c:v>2.957866667</c:v>
              </c:pt>
              <c:pt idx="8">
                <c:v>2.957866667</c:v>
              </c:pt>
              <c:pt idx="9">
                <c:v>2.433466667</c:v>
              </c:pt>
              <c:pt idx="10">
                <c:v>2.433466667</c:v>
              </c:pt>
              <c:pt idx="11">
                <c:v>2.433466667</c:v>
              </c:pt>
              <c:pt idx="12">
                <c:v>2.017966667</c:v>
              </c:pt>
              <c:pt idx="13">
                <c:v>2.017966667</c:v>
              </c:pt>
              <c:pt idx="14">
                <c:v>2.017966667</c:v>
              </c:pt>
            </c:numLit>
          </c:xVal>
          <c:yVal>
            <c:numLit>
              <c:formatCode>General</c:formatCode>
              <c:ptCount val="15"/>
              <c:pt idx="0">
                <c:v>-8.301402403252842</c:v>
              </c:pt>
              <c:pt idx="1">
                <c:v>-8.301402403252842</c:v>
              </c:pt>
              <c:pt idx="2">
                <c:v>-8.301402403252842</c:v>
              </c:pt>
              <c:pt idx="3">
                <c:v>46.59079266905766</c:v>
              </c:pt>
              <c:pt idx="4">
                <c:v>46.59079266905766</c:v>
              </c:pt>
              <c:pt idx="5">
                <c:v>46.59079266905766</c:v>
              </c:pt>
              <c:pt idx="6">
                <c:v>38.90789118199204</c:v>
              </c:pt>
              <c:pt idx="7">
                <c:v>38.90789118199204</c:v>
              </c:pt>
              <c:pt idx="8">
                <c:v>38.90789118199204</c:v>
              </c:pt>
              <c:pt idx="9">
                <c:v>30.32264578056892</c:v>
              </c:pt>
              <c:pt idx="10">
                <c:v>30.32264578056892</c:v>
              </c:pt>
              <c:pt idx="11">
                <c:v>30.32264578056892</c:v>
              </c:pt>
              <c:pt idx="12">
                <c:v>22.83718902896901</c:v>
              </c:pt>
              <c:pt idx="13">
                <c:v>22.83718902896901</c:v>
              </c:pt>
              <c:pt idx="14">
                <c:v>22.83718902896901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D0-47DD-9259-C12D35BEC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909720"/>
        <c:axId val="-2132906488"/>
      </c:scatterChart>
      <c:valAx>
        <c:axId val="-2132909720"/>
        <c:scaling>
          <c:orientation val="minMax"/>
          <c:max val="4.1"/>
          <c:min val="0.0"/>
        </c:scaling>
        <c:delete val="0"/>
        <c:axPos val="b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-2132906488"/>
        <c:crosses val="autoZero"/>
        <c:crossBetween val="midCat"/>
        <c:majorUnit val="1.0"/>
      </c:valAx>
      <c:valAx>
        <c:axId val="-21329064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-2132909720"/>
        <c:crossesAt val="0.0"/>
        <c:crossBetween val="midCat"/>
      </c:valAx>
      <c:spPr>
        <a:ln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1.0" l="0.75" r="0.75" t="1.0" header="0.5" footer="0.5"/>
    <c:pageSetup orientation="portrait" horizontalDpi="-4" verticalDpi="-4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9501203201991"/>
          <c:y val="0.122896664943909"/>
          <c:w val="0.805359896540999"/>
          <c:h val="0.695197154409753"/>
        </c:manualLayout>
      </c:layout>
      <c:scatterChart>
        <c:scatterStyle val="lineMarker"/>
        <c:varyColors val="0"/>
        <c:ser>
          <c:idx val="0"/>
          <c:order val="0"/>
          <c:spPr>
            <a:ln w="31750">
              <a:noFill/>
            </a:ln>
          </c:spPr>
          <c:marker>
            <c:spPr>
              <a:solidFill>
                <a:srgbClr val="3366FF"/>
              </a:solidFill>
              <a:ln>
                <a:noFill/>
              </a:ln>
            </c:spPr>
          </c:marker>
          <c:trendline>
            <c:spPr>
              <a:ln>
                <a:solidFill>
                  <a:srgbClr val="3366FF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0443887277248239"/>
                  <c:y val="0.379239363854222"/>
                </c:manualLayout>
              </c:layout>
              <c:tx>
                <c:rich>
                  <a:bodyPr/>
                  <a:lstStyle/>
                  <a:p>
                    <a:pPr algn="ctr" rtl="0">
                      <a:defRPr>
                        <a:solidFill>
                          <a:srgbClr val="3366FF"/>
                        </a:solidFill>
                      </a:defRPr>
                    </a:pPr>
                    <a:r>
                      <a:rPr lang="en-US">
                        <a:solidFill>
                          <a:srgbClr val="3366FF"/>
                        </a:solidFill>
                      </a:rPr>
                      <a:t>4-Week: y = 7.2606x + 23.794
(R² = 0.53597, </a:t>
                    </a:r>
                    <a:r>
                      <a:rPr lang="hr-HR">
                        <a:solidFill>
                          <a:srgbClr val="3366FF"/>
                        </a:solidFill>
                      </a:rPr>
                      <a:t> P &lt; 0.001)</a:t>
                    </a:r>
                  </a:p>
                  <a:p>
                    <a:pPr algn="ctr" rtl="0">
                      <a:defRPr>
                        <a:solidFill>
                          <a:srgbClr val="3366FF"/>
                        </a:solidFill>
                      </a:defRPr>
                    </a:pPr>
                    <a:endParaRPr lang="en-US">
                      <a:solidFill>
                        <a:srgbClr val="3366FF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Lit>
              <c:formatCode>0.00;[Red]0.00</c:formatCode>
              <c:ptCount val="23"/>
              <c:pt idx="0">
                <c:v>5.342899999999997</c:v>
              </c:pt>
              <c:pt idx="1">
                <c:v>3.5638</c:v>
              </c:pt>
              <c:pt idx="2">
                <c:v>4.47</c:v>
              </c:pt>
              <c:pt idx="3">
                <c:v>3.4203</c:v>
              </c:pt>
              <c:pt idx="4">
                <c:v>5.0157</c:v>
              </c:pt>
              <c:pt idx="5">
                <c:v>4.5596</c:v>
              </c:pt>
              <c:pt idx="6">
                <c:v>5.1318</c:v>
              </c:pt>
              <c:pt idx="7">
                <c:v>4.894299999999998</c:v>
              </c:pt>
              <c:pt idx="8">
                <c:v>3.7571</c:v>
              </c:pt>
              <c:pt idx="9">
                <c:v>5.198799999999999</c:v>
              </c:pt>
              <c:pt idx="10">
                <c:v>5.004099999999998</c:v>
              </c:pt>
              <c:pt idx="11">
                <c:v>4.9062</c:v>
              </c:pt>
              <c:pt idx="12">
                <c:v>5.3773</c:v>
              </c:pt>
              <c:pt idx="13">
                <c:v>5.4734</c:v>
              </c:pt>
              <c:pt idx="14">
                <c:v>4.4393</c:v>
              </c:pt>
              <c:pt idx="15">
                <c:v>5.9869</c:v>
              </c:pt>
              <c:pt idx="16">
                <c:v>4.853899999999998</c:v>
              </c:pt>
              <c:pt idx="17">
                <c:v>4.46</c:v>
              </c:pt>
              <c:pt idx="18">
                <c:v>5.660099999999994</c:v>
              </c:pt>
              <c:pt idx="19">
                <c:v>4.652699999999998</c:v>
              </c:pt>
              <c:pt idx="20">
                <c:v>2.3147</c:v>
              </c:pt>
              <c:pt idx="21">
                <c:v>2.6049</c:v>
              </c:pt>
              <c:pt idx="22">
                <c:v>2.0906</c:v>
              </c:pt>
            </c:numLit>
          </c:xVal>
          <c:yVal>
            <c:numLit>
              <c:formatCode>General</c:formatCode>
              <c:ptCount val="23"/>
              <c:pt idx="0">
                <c:v>71.12242415167785</c:v>
              </c:pt>
              <c:pt idx="1">
                <c:v>63.30321566866827</c:v>
              </c:pt>
              <c:pt idx="2">
                <c:v>67.06935123042491</c:v>
              </c:pt>
              <c:pt idx="3">
                <c:v>54.64432944478553</c:v>
              </c:pt>
              <c:pt idx="4">
                <c:v>65.29497378232352</c:v>
              </c:pt>
              <c:pt idx="5">
                <c:v>67.63751206246148</c:v>
              </c:pt>
              <c:pt idx="6">
                <c:v>64.71413539109083</c:v>
              </c:pt>
              <c:pt idx="7">
                <c:v>55.71787589645097</c:v>
              </c:pt>
              <c:pt idx="8">
                <c:v>36.73045700141058</c:v>
              </c:pt>
              <c:pt idx="9">
                <c:v>64.4379472185888</c:v>
              </c:pt>
              <c:pt idx="10">
                <c:v>63.86762854459342</c:v>
              </c:pt>
              <c:pt idx="11">
                <c:v>54.01328930740694</c:v>
              </c:pt>
              <c:pt idx="12">
                <c:v>60.17890019154594</c:v>
              </c:pt>
              <c:pt idx="13">
                <c:v>62.92249789892937</c:v>
              </c:pt>
              <c:pt idx="14">
                <c:v>49.10684116865259</c:v>
              </c:pt>
              <c:pt idx="15">
                <c:v>61.61786567338678</c:v>
              </c:pt>
              <c:pt idx="16">
                <c:v>46.25146789179819</c:v>
              </c:pt>
              <c:pt idx="17">
                <c:v>55.96412556053811</c:v>
              </c:pt>
              <c:pt idx="18">
                <c:v>61.6261196798643</c:v>
              </c:pt>
              <c:pt idx="19">
                <c:v>54.86061856556405</c:v>
              </c:pt>
              <c:pt idx="20">
                <c:v>37.36985354473582</c:v>
              </c:pt>
              <c:pt idx="21">
                <c:v>41.65227072056508</c:v>
              </c:pt>
              <c:pt idx="22">
                <c:v>36.30536688032145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99-458B-99A8-92059C581C1C}"/>
            </c:ext>
          </c:extLst>
        </c:ser>
        <c:ser>
          <c:idx val="1"/>
          <c:order val="1"/>
          <c:spPr>
            <a:ln w="31750">
              <a:noFill/>
            </a:ln>
          </c:spPr>
          <c:marker>
            <c:spPr>
              <a:solidFill>
                <a:srgbClr val="FF6600"/>
              </a:solidFill>
              <a:ln>
                <a:noFill/>
              </a:ln>
            </c:spPr>
          </c:marker>
          <c:trendline>
            <c:spPr>
              <a:ln>
                <a:solidFill>
                  <a:srgbClr val="FF66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83171080887616"/>
                  <c:y val="-0.0378945566586785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FF6600"/>
                        </a:solidFill>
                      </a:defRPr>
                    </a:pPr>
                    <a:r>
                      <a:rPr lang="en-US">
                        <a:solidFill>
                          <a:srgbClr val="FF6600"/>
                        </a:solidFill>
                      </a:rPr>
                      <a:t>10-Week: y = 5.8972x + 36.967
(R² = 0.50227, P &lt; 0.001)</a:t>
                    </a:r>
                  </a:p>
                </c:rich>
              </c:tx>
              <c:numFmt formatCode="General" sourceLinked="0"/>
            </c:trendlineLbl>
          </c:trendline>
          <c:xVal>
            <c:numLit>
              <c:formatCode>0.00;[Red]0.00</c:formatCode>
              <c:ptCount val="23"/>
              <c:pt idx="0">
                <c:v>5.342899999999997</c:v>
              </c:pt>
              <c:pt idx="1">
                <c:v>3.5638</c:v>
              </c:pt>
              <c:pt idx="2">
                <c:v>4.47</c:v>
              </c:pt>
              <c:pt idx="3">
                <c:v>3.4203</c:v>
              </c:pt>
              <c:pt idx="4">
                <c:v>5.0157</c:v>
              </c:pt>
              <c:pt idx="5">
                <c:v>4.5596</c:v>
              </c:pt>
              <c:pt idx="6">
                <c:v>5.1318</c:v>
              </c:pt>
              <c:pt idx="7">
                <c:v>4.894299999999998</c:v>
              </c:pt>
              <c:pt idx="8">
                <c:v>3.7571</c:v>
              </c:pt>
              <c:pt idx="9">
                <c:v>5.198799999999999</c:v>
              </c:pt>
              <c:pt idx="10">
                <c:v>5.004099999999998</c:v>
              </c:pt>
              <c:pt idx="11">
                <c:v>4.9062</c:v>
              </c:pt>
              <c:pt idx="12">
                <c:v>5.3773</c:v>
              </c:pt>
              <c:pt idx="13">
                <c:v>5.4734</c:v>
              </c:pt>
              <c:pt idx="14">
                <c:v>4.4393</c:v>
              </c:pt>
              <c:pt idx="15">
                <c:v>5.9869</c:v>
              </c:pt>
              <c:pt idx="16">
                <c:v>4.853899999999998</c:v>
              </c:pt>
              <c:pt idx="17">
                <c:v>4.46</c:v>
              </c:pt>
              <c:pt idx="18">
                <c:v>5.660099999999994</c:v>
              </c:pt>
              <c:pt idx="19">
                <c:v>4.652699999999998</c:v>
              </c:pt>
              <c:pt idx="20">
                <c:v>2.3147</c:v>
              </c:pt>
              <c:pt idx="21">
                <c:v>2.6049</c:v>
              </c:pt>
              <c:pt idx="22">
                <c:v>2.0906</c:v>
              </c:pt>
            </c:numLit>
          </c:xVal>
          <c:yVal>
            <c:numLit>
              <c:formatCode>General</c:formatCode>
              <c:ptCount val="23"/>
              <c:pt idx="0">
                <c:v>72.47000692507812</c:v>
              </c:pt>
              <c:pt idx="1">
                <c:v>71.01969807508837</c:v>
              </c:pt>
              <c:pt idx="2">
                <c:v>70.74496644295302</c:v>
              </c:pt>
              <c:pt idx="3">
                <c:v>65.54980557261058</c:v>
              </c:pt>
              <c:pt idx="4">
                <c:v>70.13976114998893</c:v>
              </c:pt>
              <c:pt idx="5">
                <c:v>68.46653215194315</c:v>
              </c:pt>
              <c:pt idx="6">
                <c:v>71.16411395611676</c:v>
              </c:pt>
              <c:pt idx="7">
                <c:v>61.11190568620633</c:v>
              </c:pt>
              <c:pt idx="8">
                <c:v>53.0994650129089</c:v>
              </c:pt>
              <c:pt idx="9">
                <c:v>65.49588366546123</c:v>
              </c:pt>
              <c:pt idx="10">
                <c:v>64.5710517375751</c:v>
              </c:pt>
              <c:pt idx="11">
                <c:v>59.17002975826502</c:v>
              </c:pt>
              <c:pt idx="12">
                <c:v>68.83380135011983</c:v>
              </c:pt>
              <c:pt idx="13">
                <c:v>69.46322212884132</c:v>
              </c:pt>
              <c:pt idx="14">
                <c:v>64.51467573716574</c:v>
              </c:pt>
              <c:pt idx="15">
                <c:v>63.4585511700546</c:v>
              </c:pt>
              <c:pt idx="16">
                <c:v>59.83229980016068</c:v>
              </c:pt>
              <c:pt idx="17">
                <c:v>60.87443946188328</c:v>
              </c:pt>
              <c:pt idx="18">
                <c:v>65.57834667232014</c:v>
              </c:pt>
              <c:pt idx="19">
                <c:v>76.43518817030959</c:v>
              </c:pt>
              <c:pt idx="20">
                <c:v>44.06618568280985</c:v>
              </c:pt>
              <c:pt idx="21">
                <c:v>49.59883296863602</c:v>
              </c:pt>
              <c:pt idx="22">
                <c:v>43.03549220319524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99-458B-99A8-92059C581C1C}"/>
            </c:ext>
          </c:extLst>
        </c:ser>
        <c:ser>
          <c:idx val="2"/>
          <c:order val="2"/>
          <c:spPr>
            <a:ln w="31750">
              <a:noFill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Lit>
              <c:formatCode>0.00;[Red]0.00</c:formatCode>
              <c:ptCount val="23"/>
              <c:pt idx="0">
                <c:v>5.342899999999997</c:v>
              </c:pt>
              <c:pt idx="1">
                <c:v>3.5638</c:v>
              </c:pt>
              <c:pt idx="2">
                <c:v>4.47</c:v>
              </c:pt>
              <c:pt idx="3">
                <c:v>3.4203</c:v>
              </c:pt>
              <c:pt idx="4">
                <c:v>5.0157</c:v>
              </c:pt>
              <c:pt idx="5">
                <c:v>4.5596</c:v>
              </c:pt>
              <c:pt idx="6">
                <c:v>5.1318</c:v>
              </c:pt>
              <c:pt idx="7">
                <c:v>4.894299999999998</c:v>
              </c:pt>
              <c:pt idx="8">
                <c:v>3.7571</c:v>
              </c:pt>
              <c:pt idx="9">
                <c:v>5.198799999999999</c:v>
              </c:pt>
              <c:pt idx="10">
                <c:v>5.004099999999998</c:v>
              </c:pt>
              <c:pt idx="11">
                <c:v>4.9062</c:v>
              </c:pt>
              <c:pt idx="12">
                <c:v>5.3773</c:v>
              </c:pt>
              <c:pt idx="13">
                <c:v>5.4734</c:v>
              </c:pt>
              <c:pt idx="14">
                <c:v>4.4393</c:v>
              </c:pt>
              <c:pt idx="15">
                <c:v>5.9869</c:v>
              </c:pt>
              <c:pt idx="16">
                <c:v>4.853899999999998</c:v>
              </c:pt>
              <c:pt idx="17">
                <c:v>4.46</c:v>
              </c:pt>
              <c:pt idx="18">
                <c:v>5.660099999999994</c:v>
              </c:pt>
              <c:pt idx="19">
                <c:v>4.652699999999998</c:v>
              </c:pt>
              <c:pt idx="20">
                <c:v>2.3147</c:v>
              </c:pt>
              <c:pt idx="21">
                <c:v>2.6049</c:v>
              </c:pt>
              <c:pt idx="22">
                <c:v>2.0906</c:v>
              </c:pt>
            </c:numLit>
          </c:xVal>
          <c:yVal>
            <c:numLit>
              <c:formatCode>General</c:formatCode>
              <c:ptCount val="23"/>
              <c:pt idx="0">
                <c:v>70.67555362483786</c:v>
              </c:pt>
              <c:pt idx="1">
                <c:v>47.92647579550154</c:v>
              </c:pt>
              <c:pt idx="2">
                <c:v>60.08498350583442</c:v>
              </c:pt>
              <c:pt idx="3">
                <c:v>45.864695967512</c:v>
              </c:pt>
              <c:pt idx="4">
                <c:v>66.81508846946964</c:v>
              </c:pt>
              <c:pt idx="5">
                <c:v>61.21712781332</c:v>
              </c:pt>
              <c:pt idx="6">
                <c:v>68.19891765056104</c:v>
              </c:pt>
              <c:pt idx="7">
                <c:v>65.3508470261912</c:v>
              </c:pt>
              <c:pt idx="8">
                <c:v>50.63922822734607</c:v>
              </c:pt>
              <c:pt idx="9">
                <c:v>68.9903922855759</c:v>
              </c:pt>
              <c:pt idx="10">
                <c:v>66.67594871789478</c:v>
              </c:pt>
              <c:pt idx="11">
                <c:v>65.49517337104276</c:v>
              </c:pt>
              <c:pt idx="12">
                <c:v>71.0744685135023</c:v>
              </c:pt>
              <c:pt idx="13">
                <c:v>72.18216672864706</c:v>
              </c:pt>
              <c:pt idx="14">
                <c:v>59.6944665307615</c:v>
              </c:pt>
              <c:pt idx="15">
                <c:v>77.94285286748789</c:v>
              </c:pt>
              <c:pt idx="16">
                <c:v>64.859551544374</c:v>
              </c:pt>
              <c:pt idx="17">
                <c:v>59.9579269651787</c:v>
              </c:pt>
              <c:pt idx="18">
                <c:v>74.3067140884648</c:v>
              </c:pt>
              <c:pt idx="19">
                <c:v>62.38177364727232</c:v>
              </c:pt>
              <c:pt idx="20">
                <c:v>28.25303702764393</c:v>
              </c:pt>
              <c:pt idx="21">
                <c:v>33.22289921067722</c:v>
              </c:pt>
              <c:pt idx="22">
                <c:v>24.19778901024939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99-458B-99A8-92059C581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237096"/>
        <c:axId val="-2133233624"/>
      </c:scatterChart>
      <c:valAx>
        <c:axId val="-2133237096"/>
        <c:scaling>
          <c:orientation val="minMax"/>
        </c:scaling>
        <c:delete val="0"/>
        <c:axPos val="b"/>
        <c:numFmt formatCode="0;[Red]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3233624"/>
        <c:crosses val="autoZero"/>
        <c:crossBetween val="midCat"/>
      </c:valAx>
      <c:valAx>
        <c:axId val="-21332336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323709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8807918966944"/>
          <c:y val="0.083586455063485"/>
          <c:w val="0.807225827872817"/>
          <c:h val="0.780808340208148"/>
        </c:manualLayout>
      </c:layout>
      <c:scatterChart>
        <c:scatterStyle val="lineMarker"/>
        <c:varyColors val="0"/>
        <c:ser>
          <c:idx val="0"/>
          <c:order val="0"/>
          <c:tx>
            <c:v>4 week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366FF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3366FF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11052303634338"/>
                  <c:y val="0.47766053749917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rgbClr val="3366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rgbClr val="3366FF"/>
                        </a:solidFill>
                      </a:rPr>
                      <a:t>4 Week: y = -0.182x</a:t>
                    </a:r>
                    <a:r>
                      <a:rPr lang="en-US" baseline="30000">
                        <a:solidFill>
                          <a:srgbClr val="3366FF"/>
                        </a:solidFill>
                      </a:rPr>
                      <a:t>2</a:t>
                    </a:r>
                    <a:r>
                      <a:rPr lang="en-US" baseline="0">
                        <a:solidFill>
                          <a:srgbClr val="3366FF"/>
                        </a:solidFill>
                      </a:rPr>
                      <a:t> + 41.686x - 72.766
(</a:t>
                    </a:r>
                    <a:r>
                      <a:rPr lang="en-US" i="1" baseline="0">
                        <a:solidFill>
                          <a:srgbClr val="3366FF"/>
                        </a:solidFill>
                      </a:rPr>
                      <a:t>R</a:t>
                    </a:r>
                    <a:r>
                      <a:rPr lang="en-US" baseline="0">
                        <a:solidFill>
                          <a:srgbClr val="3366FF"/>
                        </a:solidFill>
                      </a:rPr>
                      <a:t>² = 0.46257)</a:t>
                    </a:r>
                    <a:endParaRPr lang="en-US">
                      <a:solidFill>
                        <a:srgbClr val="3366FF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[1]Waimanalo!$O$5:$O$18</c:f>
              <c:numCache>
                <c:formatCode>General</c:formatCode>
                <c:ptCount val="14"/>
                <c:pt idx="0">
                  <c:v>3.0668</c:v>
                </c:pt>
                <c:pt idx="1">
                  <c:v>3.0668</c:v>
                </c:pt>
                <c:pt idx="2">
                  <c:v>2.017966667</c:v>
                </c:pt>
                <c:pt idx="3">
                  <c:v>2.017966667</c:v>
                </c:pt>
                <c:pt idx="4">
                  <c:v>2.017966667</c:v>
                </c:pt>
                <c:pt idx="5">
                  <c:v>2.957866667</c:v>
                </c:pt>
                <c:pt idx="6">
                  <c:v>2.957866667</c:v>
                </c:pt>
                <c:pt idx="7">
                  <c:v>2.957866667</c:v>
                </c:pt>
                <c:pt idx="8">
                  <c:v>2.433466667</c:v>
                </c:pt>
                <c:pt idx="9">
                  <c:v>2.433466667</c:v>
                </c:pt>
                <c:pt idx="10">
                  <c:v>2.357866667</c:v>
                </c:pt>
                <c:pt idx="11">
                  <c:v>1.07369</c:v>
                </c:pt>
                <c:pt idx="12">
                  <c:v>1.07369</c:v>
                </c:pt>
                <c:pt idx="13">
                  <c:v>1.07369</c:v>
                </c:pt>
              </c:numCache>
            </c:numRef>
          </c:xVal>
          <c:yVal>
            <c:numRef>
              <c:f>[1]Waimanalo!$P$5:$P$18</c:f>
              <c:numCache>
                <c:formatCode>General</c:formatCode>
                <c:ptCount val="14"/>
                <c:pt idx="0">
                  <c:v>16.7362288596148</c:v>
                </c:pt>
                <c:pt idx="1">
                  <c:v>26.7303595495848</c:v>
                </c:pt>
                <c:pt idx="2">
                  <c:v>-9.010720360592241</c:v>
                </c:pt>
                <c:pt idx="3">
                  <c:v>-27.0040800100755</c:v>
                </c:pt>
                <c:pt idx="4">
                  <c:v>-15.9979517309506</c:v>
                </c:pt>
                <c:pt idx="5">
                  <c:v>109.581229702761</c:v>
                </c:pt>
                <c:pt idx="6">
                  <c:v>23.3772087965001</c:v>
                </c:pt>
                <c:pt idx="7">
                  <c:v>60.9617291673096</c:v>
                </c:pt>
                <c:pt idx="8">
                  <c:v>87.1007067986548</c:v>
                </c:pt>
                <c:pt idx="9">
                  <c:v>57.8872390474649</c:v>
                </c:pt>
                <c:pt idx="10">
                  <c:v>20.1693621324122</c:v>
                </c:pt>
                <c:pt idx="11">
                  <c:v>-16.9353661981888</c:v>
                </c:pt>
                <c:pt idx="12">
                  <c:v>-11.9059815527139</c:v>
                </c:pt>
                <c:pt idx="13">
                  <c:v>-41.2533723265872</c:v>
                </c:pt>
              </c:numCache>
            </c:numRef>
          </c:yVal>
          <c:smooth val="0"/>
        </c:ser>
        <c:ser>
          <c:idx val="1"/>
          <c:order val="1"/>
          <c:tx>
            <c:v>10 week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36096338394709"/>
                  <c:y val="-0.136076799751158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accent2"/>
                        </a:solidFill>
                      </a:defRPr>
                    </a:pPr>
                    <a:r>
                      <a:rPr lang="en-US" baseline="0"/>
                      <a:t>10 Week: y = -27.359x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+ 149.89x - 152.17
(</a:t>
                    </a:r>
                    <a:r>
                      <a:rPr lang="en-US" i="1" baseline="0"/>
                      <a:t>R</a:t>
                    </a:r>
                    <a:r>
                      <a:rPr lang="en-US" baseline="0"/>
                      <a:t>² = 0.52718)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</c:spPr>
            </c:trendlineLbl>
          </c:trendline>
          <c:xVal>
            <c:numRef>
              <c:f>[1]Waimanalo!$O$5:$O$18</c:f>
              <c:numCache>
                <c:formatCode>General</c:formatCode>
                <c:ptCount val="14"/>
                <c:pt idx="0">
                  <c:v>3.0668</c:v>
                </c:pt>
                <c:pt idx="1">
                  <c:v>3.0668</c:v>
                </c:pt>
                <c:pt idx="2">
                  <c:v>2.017966667</c:v>
                </c:pt>
                <c:pt idx="3">
                  <c:v>2.017966667</c:v>
                </c:pt>
                <c:pt idx="4">
                  <c:v>2.017966667</c:v>
                </c:pt>
                <c:pt idx="5">
                  <c:v>2.957866667</c:v>
                </c:pt>
                <c:pt idx="6">
                  <c:v>2.957866667</c:v>
                </c:pt>
                <c:pt idx="7">
                  <c:v>2.957866667</c:v>
                </c:pt>
                <c:pt idx="8">
                  <c:v>2.433466667</c:v>
                </c:pt>
                <c:pt idx="9">
                  <c:v>2.433466667</c:v>
                </c:pt>
                <c:pt idx="10">
                  <c:v>2.357866667</c:v>
                </c:pt>
                <c:pt idx="11">
                  <c:v>1.07369</c:v>
                </c:pt>
                <c:pt idx="12">
                  <c:v>1.07369</c:v>
                </c:pt>
                <c:pt idx="13">
                  <c:v>1.07369</c:v>
                </c:pt>
              </c:numCache>
            </c:numRef>
          </c:xVal>
          <c:yVal>
            <c:numRef>
              <c:f>[1]Waimanalo!$Q$5:$Q$18</c:f>
              <c:numCache>
                <c:formatCode>General</c:formatCode>
                <c:ptCount val="14"/>
                <c:pt idx="0">
                  <c:v>27.17273162036433</c:v>
                </c:pt>
                <c:pt idx="1">
                  <c:v>6.597539237424464</c:v>
                </c:pt>
                <c:pt idx="2">
                  <c:v>6.210872329207473</c:v>
                </c:pt>
                <c:pt idx="3">
                  <c:v>1.404053585060191</c:v>
                </c:pt>
                <c:pt idx="4">
                  <c:v>7.449743139554707</c:v>
                </c:pt>
                <c:pt idx="5">
                  <c:v>61.47448610919193</c:v>
                </c:pt>
                <c:pt idx="6">
                  <c:v>80.10277676702773</c:v>
                </c:pt>
                <c:pt idx="7">
                  <c:v>61.47448610919193</c:v>
                </c:pt>
                <c:pt idx="8">
                  <c:v>82.32425619386277</c:v>
                </c:pt>
                <c:pt idx="9">
                  <c:v>94.85781599708815</c:v>
                </c:pt>
                <c:pt idx="10">
                  <c:v>77.11773353354475</c:v>
                </c:pt>
                <c:pt idx="11">
                  <c:v>-16.54729639529723</c:v>
                </c:pt>
                <c:pt idx="12">
                  <c:v>-15.6159288683574</c:v>
                </c:pt>
                <c:pt idx="13">
                  <c:v>-19.34139897611664</c:v>
                </c:pt>
              </c:numCache>
            </c:numRef>
          </c:yVal>
          <c:smooth val="0"/>
        </c:ser>
        <c:ser>
          <c:idx val="2"/>
          <c:order val="2"/>
          <c:tx>
            <c:v>VK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[1]Waimanalo!$O$5:$O$18</c:f>
              <c:numCache>
                <c:formatCode>General</c:formatCode>
                <c:ptCount val="14"/>
                <c:pt idx="0">
                  <c:v>3.0668</c:v>
                </c:pt>
                <c:pt idx="1">
                  <c:v>3.0668</c:v>
                </c:pt>
                <c:pt idx="2">
                  <c:v>2.017966667</c:v>
                </c:pt>
                <c:pt idx="3">
                  <c:v>2.017966667</c:v>
                </c:pt>
                <c:pt idx="4">
                  <c:v>2.017966667</c:v>
                </c:pt>
                <c:pt idx="5">
                  <c:v>2.957866667</c:v>
                </c:pt>
                <c:pt idx="6">
                  <c:v>2.957866667</c:v>
                </c:pt>
                <c:pt idx="7">
                  <c:v>2.957866667</c:v>
                </c:pt>
                <c:pt idx="8">
                  <c:v>2.433466667</c:v>
                </c:pt>
                <c:pt idx="9">
                  <c:v>2.433466667</c:v>
                </c:pt>
                <c:pt idx="10">
                  <c:v>2.357866667</c:v>
                </c:pt>
                <c:pt idx="11">
                  <c:v>1.07369</c:v>
                </c:pt>
                <c:pt idx="12">
                  <c:v>1.07369</c:v>
                </c:pt>
                <c:pt idx="13">
                  <c:v>1.07369</c:v>
                </c:pt>
              </c:numCache>
            </c:numRef>
          </c:xVal>
          <c:yVal>
            <c:numRef>
              <c:f>[1]Waimanalo!$R$5:$R$18</c:f>
              <c:numCache>
                <c:formatCode>General</c:formatCode>
                <c:ptCount val="14"/>
                <c:pt idx="0">
                  <c:v>40.59302625779945</c:v>
                </c:pt>
                <c:pt idx="1">
                  <c:v>40.59302625779945</c:v>
                </c:pt>
                <c:pt idx="2">
                  <c:v>22.83718902896901</c:v>
                </c:pt>
                <c:pt idx="3">
                  <c:v>22.83718902896901</c:v>
                </c:pt>
                <c:pt idx="4">
                  <c:v>22.83718902896901</c:v>
                </c:pt>
                <c:pt idx="5">
                  <c:v>38.90789118199217</c:v>
                </c:pt>
                <c:pt idx="6">
                  <c:v>38.90789118199217</c:v>
                </c:pt>
                <c:pt idx="7">
                  <c:v>38.90789118199217</c:v>
                </c:pt>
                <c:pt idx="8">
                  <c:v>30.32264578056896</c:v>
                </c:pt>
                <c:pt idx="9">
                  <c:v>30.32264578056896</c:v>
                </c:pt>
                <c:pt idx="10">
                  <c:v>29.0112620022342</c:v>
                </c:pt>
                <c:pt idx="11">
                  <c:v>2.198721253817474</c:v>
                </c:pt>
                <c:pt idx="12">
                  <c:v>2.198721253817474</c:v>
                </c:pt>
                <c:pt idx="13">
                  <c:v>2.198721253817474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990072"/>
        <c:axId val="-2132986248"/>
      </c:scatterChart>
      <c:valAx>
        <c:axId val="-2132990072"/>
        <c:scaling>
          <c:orientation val="minMax"/>
          <c:min val="0.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986248"/>
        <c:crossesAt val="0.0"/>
        <c:crossBetween val="midCat"/>
      </c:valAx>
      <c:valAx>
        <c:axId val="-2132986248"/>
        <c:scaling>
          <c:orientation val="minMax"/>
          <c:max val="100.0"/>
          <c:min val="-50.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990072"/>
        <c:crossesAt val="0.0"/>
        <c:crossBetween val="midCat"/>
        <c:majorUnit val="20.0"/>
        <c:minorUnit val="2.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Kula, Maui</a:t>
            </a:r>
          </a:p>
        </c:rich>
      </c:tx>
      <c:layout>
        <c:manualLayout>
          <c:xMode val="edge"/>
          <c:yMode val="edge"/>
          <c:x val="0.43134795106866"/>
          <c:y val="0.003902721843819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8807918966944"/>
          <c:y val="0.0998244057422776"/>
          <c:w val="0.815628782455912"/>
          <c:h val="0.73430032171126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366FF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3366FF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0122631287824559"/>
                  <c:y val="0.27008263264668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rgbClr val="0070C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4 Week: y = -13.596x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+ 99.847x - 111.57
(</a:t>
                    </a:r>
                    <a:r>
                      <a:rPr lang="en-US" i="1" baseline="0"/>
                      <a:t>R</a:t>
                    </a:r>
                    <a:r>
                      <a:rPr lang="en-US" baseline="0"/>
                      <a:t>² = 0.77964)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[1]Kula!$Q$4:$Q$18</c:f>
              <c:numCache>
                <c:formatCode>General</c:formatCode>
                <c:ptCount val="15"/>
                <c:pt idx="0">
                  <c:v>1.62</c:v>
                </c:pt>
                <c:pt idx="1">
                  <c:v>1.62</c:v>
                </c:pt>
                <c:pt idx="2">
                  <c:v>4.7544</c:v>
                </c:pt>
                <c:pt idx="3">
                  <c:v>4.7544</c:v>
                </c:pt>
                <c:pt idx="4">
                  <c:v>4.7544</c:v>
                </c:pt>
                <c:pt idx="5">
                  <c:v>3.8267</c:v>
                </c:pt>
                <c:pt idx="6">
                  <c:v>3.8267</c:v>
                </c:pt>
                <c:pt idx="7">
                  <c:v>3.8267</c:v>
                </c:pt>
                <c:pt idx="8">
                  <c:v>1.0283</c:v>
                </c:pt>
                <c:pt idx="9">
                  <c:v>2.3667</c:v>
                </c:pt>
                <c:pt idx="10">
                  <c:v>3.2365</c:v>
                </c:pt>
                <c:pt idx="11">
                  <c:v>3.2365</c:v>
                </c:pt>
                <c:pt idx="12">
                  <c:v>3.2365</c:v>
                </c:pt>
                <c:pt idx="13">
                  <c:v>4.2758</c:v>
                </c:pt>
                <c:pt idx="14">
                  <c:v>4.2758</c:v>
                </c:pt>
              </c:numCache>
            </c:numRef>
          </c:xVal>
          <c:yVal>
            <c:numRef>
              <c:f>[1]Kula!$R$4:$R$18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49.0</c:v>
                </c:pt>
                <c:pt idx="3">
                  <c:v>51.0</c:v>
                </c:pt>
                <c:pt idx="4">
                  <c:v>44.0</c:v>
                </c:pt>
                <c:pt idx="5">
                  <c:v>64.0</c:v>
                </c:pt>
                <c:pt idx="6">
                  <c:v>85.0</c:v>
                </c:pt>
                <c:pt idx="7">
                  <c:v>88.0</c:v>
                </c:pt>
                <c:pt idx="8">
                  <c:v>-9.0</c:v>
                </c:pt>
                <c:pt idx="9">
                  <c:v>68.0</c:v>
                </c:pt>
                <c:pt idx="10">
                  <c:v>64.0</c:v>
                </c:pt>
                <c:pt idx="11">
                  <c:v>41.0</c:v>
                </c:pt>
                <c:pt idx="12">
                  <c:v>68.0</c:v>
                </c:pt>
                <c:pt idx="13">
                  <c:v>92.0</c:v>
                </c:pt>
                <c:pt idx="14">
                  <c:v>69.0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95151979756974"/>
                  <c:y val="-0.39455113219777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10 Week: y = -21.093x</a:t>
                    </a:r>
                    <a:r>
                      <a:rPr lang="en-US" baseline="30000">
                        <a:solidFill>
                          <a:schemeClr val="accent2"/>
                        </a:solidFill>
                      </a:rPr>
                      <a:t>2</a:t>
                    </a:r>
                    <a:r>
                      <a:rPr lang="en-US" baseline="0">
                        <a:solidFill>
                          <a:schemeClr val="accent2"/>
                        </a:solidFill>
                      </a:rPr>
                      <a:t> + 141.72x - 150.69</a:t>
                    </a:r>
                    <a:br>
                      <a:rPr lang="en-US" baseline="0">
                        <a:solidFill>
                          <a:schemeClr val="accent2"/>
                        </a:solidFill>
                      </a:rPr>
                    </a:br>
                    <a:r>
                      <a:rPr lang="en-US" baseline="0">
                        <a:solidFill>
                          <a:schemeClr val="accent2"/>
                        </a:solidFill>
                      </a:rPr>
                      <a:t>(</a:t>
                    </a:r>
                    <a:r>
                      <a:rPr lang="en-US" i="1" baseline="0">
                        <a:solidFill>
                          <a:schemeClr val="accent2"/>
                        </a:solidFill>
                      </a:rPr>
                      <a:t>R</a:t>
                    </a:r>
                    <a:r>
                      <a:rPr lang="en-US" baseline="0">
                        <a:solidFill>
                          <a:schemeClr val="accent2"/>
                        </a:solidFill>
                      </a:rPr>
                      <a:t>² = 0.8607)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[1]Kula!$Q$4:$Q$18</c:f>
              <c:numCache>
                <c:formatCode>General</c:formatCode>
                <c:ptCount val="15"/>
                <c:pt idx="0">
                  <c:v>1.62</c:v>
                </c:pt>
                <c:pt idx="1">
                  <c:v>1.62</c:v>
                </c:pt>
                <c:pt idx="2">
                  <c:v>4.7544</c:v>
                </c:pt>
                <c:pt idx="3">
                  <c:v>4.7544</c:v>
                </c:pt>
                <c:pt idx="4">
                  <c:v>4.7544</c:v>
                </c:pt>
                <c:pt idx="5">
                  <c:v>3.8267</c:v>
                </c:pt>
                <c:pt idx="6">
                  <c:v>3.8267</c:v>
                </c:pt>
                <c:pt idx="7">
                  <c:v>3.8267</c:v>
                </c:pt>
                <c:pt idx="8">
                  <c:v>1.0283</c:v>
                </c:pt>
                <c:pt idx="9">
                  <c:v>2.3667</c:v>
                </c:pt>
                <c:pt idx="10">
                  <c:v>3.2365</c:v>
                </c:pt>
                <c:pt idx="11">
                  <c:v>3.2365</c:v>
                </c:pt>
                <c:pt idx="12">
                  <c:v>3.2365</c:v>
                </c:pt>
                <c:pt idx="13">
                  <c:v>4.2758</c:v>
                </c:pt>
                <c:pt idx="14">
                  <c:v>4.2758</c:v>
                </c:pt>
              </c:numCache>
            </c:numRef>
          </c:xVal>
          <c:yVal>
            <c:numRef>
              <c:f>[1]Kula!$S$4:$S$18</c:f>
              <c:numCache>
                <c:formatCode>General</c:formatCode>
                <c:ptCount val="15"/>
                <c:pt idx="0">
                  <c:v>16.10543689735479</c:v>
                </c:pt>
                <c:pt idx="1">
                  <c:v>3.871319307943142</c:v>
                </c:pt>
                <c:pt idx="2">
                  <c:v>28.63554385502612</c:v>
                </c:pt>
                <c:pt idx="3">
                  <c:v>51.47461656257764</c:v>
                </c:pt>
                <c:pt idx="4">
                  <c:v>35.09052675915817</c:v>
                </c:pt>
                <c:pt idx="5">
                  <c:v>77.3934247458721</c:v>
                </c:pt>
                <c:pt idx="6">
                  <c:v>102.5188224285851</c:v>
                </c:pt>
                <c:pt idx="7">
                  <c:v>74.47589276302288</c:v>
                </c:pt>
                <c:pt idx="8">
                  <c:v>-8.13259667842073</c:v>
                </c:pt>
                <c:pt idx="9">
                  <c:v>65.44140379984997</c:v>
                </c:pt>
                <c:pt idx="10">
                  <c:v>85.35910166389241</c:v>
                </c:pt>
                <c:pt idx="11">
                  <c:v>88.44148805551205</c:v>
                </c:pt>
                <c:pt idx="12">
                  <c:v>85.35910166389241</c:v>
                </c:pt>
                <c:pt idx="13">
                  <c:v>73.86587298807676</c:v>
                </c:pt>
                <c:pt idx="14">
                  <c:v>94.19931100472337</c:v>
                </c:pt>
              </c:numCache>
            </c:numRef>
          </c:y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[1]Kula!$Q$4:$Q$18</c:f>
              <c:numCache>
                <c:formatCode>General</c:formatCode>
                <c:ptCount val="15"/>
                <c:pt idx="0">
                  <c:v>1.62</c:v>
                </c:pt>
                <c:pt idx="1">
                  <c:v>1.62</c:v>
                </c:pt>
                <c:pt idx="2">
                  <c:v>4.7544</c:v>
                </c:pt>
                <c:pt idx="3">
                  <c:v>4.7544</c:v>
                </c:pt>
                <c:pt idx="4">
                  <c:v>4.7544</c:v>
                </c:pt>
                <c:pt idx="5">
                  <c:v>3.8267</c:v>
                </c:pt>
                <c:pt idx="6">
                  <c:v>3.8267</c:v>
                </c:pt>
                <c:pt idx="7">
                  <c:v>3.8267</c:v>
                </c:pt>
                <c:pt idx="8">
                  <c:v>1.0283</c:v>
                </c:pt>
                <c:pt idx="9">
                  <c:v>2.3667</c:v>
                </c:pt>
                <c:pt idx="10">
                  <c:v>3.2365</c:v>
                </c:pt>
                <c:pt idx="11">
                  <c:v>3.2365</c:v>
                </c:pt>
                <c:pt idx="12">
                  <c:v>3.2365</c:v>
                </c:pt>
                <c:pt idx="13">
                  <c:v>4.2758</c:v>
                </c:pt>
                <c:pt idx="14">
                  <c:v>4.2758</c:v>
                </c:pt>
              </c:numCache>
            </c:numRef>
          </c:xVal>
          <c:yVal>
            <c:numRef>
              <c:f>[1]Kula!$T$4:$T$18</c:f>
              <c:numCache>
                <c:formatCode>General</c:formatCode>
                <c:ptCount val="15"/>
                <c:pt idx="0">
                  <c:v>14.90318166430359</c:v>
                </c:pt>
                <c:pt idx="1">
                  <c:v>14.90318166430359</c:v>
                </c:pt>
                <c:pt idx="2">
                  <c:v>63.64076314066288</c:v>
                </c:pt>
                <c:pt idx="3">
                  <c:v>63.64076314066288</c:v>
                </c:pt>
                <c:pt idx="4">
                  <c:v>63.64076314066288</c:v>
                </c:pt>
                <c:pt idx="5">
                  <c:v>51.59883446992356</c:v>
                </c:pt>
                <c:pt idx="6">
                  <c:v>51.59883446992356</c:v>
                </c:pt>
                <c:pt idx="7">
                  <c:v>51.59883446992356</c:v>
                </c:pt>
                <c:pt idx="8">
                  <c:v>1.009964859492797</c:v>
                </c:pt>
                <c:pt idx="9">
                  <c:v>29.16556220255389</c:v>
                </c:pt>
                <c:pt idx="10">
                  <c:v>43.15963636577521</c:v>
                </c:pt>
                <c:pt idx="11">
                  <c:v>43.15963636577521</c:v>
                </c:pt>
                <c:pt idx="12">
                  <c:v>43.15963636577521</c:v>
                </c:pt>
                <c:pt idx="13">
                  <c:v>57.5915435504704</c:v>
                </c:pt>
                <c:pt idx="14">
                  <c:v>57.5915435504704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096328"/>
        <c:axId val="-2133104552"/>
      </c:scatterChart>
      <c:valAx>
        <c:axId val="-213309632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3104552"/>
        <c:crossesAt val="0.0"/>
        <c:crossBetween val="midCat"/>
      </c:valAx>
      <c:valAx>
        <c:axId val="-2133104552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30963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8325491654406"/>
          <c:y val="0.0982399972280692"/>
          <c:w val="0.817759381719995"/>
          <c:h val="0.819691795951249"/>
        </c:manualLayout>
      </c:layout>
      <c:scatterChart>
        <c:scatterStyle val="lineMarker"/>
        <c:varyColors val="0"/>
        <c:ser>
          <c:idx val="0"/>
          <c:order val="0"/>
          <c:spPr>
            <a:ln w="31750">
              <a:noFill/>
            </a:ln>
          </c:spPr>
          <c:marker>
            <c:spPr>
              <a:solidFill>
                <a:srgbClr val="3366FF"/>
              </a:solidFill>
              <a:ln>
                <a:noFill/>
                <a:prstDash val="solid"/>
              </a:ln>
            </c:spPr>
          </c:marker>
          <c:trendline>
            <c:spPr>
              <a:ln w="3175">
                <a:solidFill>
                  <a:srgbClr val="3366FF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981709048664"/>
                  <c:y val="-0.199612860892388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3366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mr-IN" sz="1200" b="0" i="0" u="none" strike="noStrike" baseline="0">
                        <a:solidFill>
                          <a:srgbClr val="3366FF"/>
                        </a:solidFill>
                        <a:latin typeface="Calibri"/>
                        <a:ea typeface="Calibri"/>
                        <a:cs typeface="Calibri"/>
                      </a:rPr>
                      <a:t>4-week: y = -6.1127x</a:t>
                    </a:r>
                    <a:r>
                      <a:rPr lang="mr-IN" sz="1200" b="0" i="0" u="none" strike="noStrike" baseline="30000">
                        <a:solidFill>
                          <a:srgbClr val="3366FF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mr-IN" sz="1200" b="0" i="0" u="none" strike="noStrike" baseline="0">
                        <a:solidFill>
                          <a:srgbClr val="3366FF"/>
                        </a:solidFill>
                        <a:latin typeface="Calibri"/>
                        <a:ea typeface="Calibri"/>
                        <a:cs typeface="Calibri"/>
                      </a:rPr>
                      <a:t> + 48.676x - 31.849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3366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0" i="0" u="none" strike="noStrike" baseline="0">
                        <a:solidFill>
                          <a:srgbClr val="3366FF"/>
                        </a:solidFill>
                        <a:latin typeface="Calibri"/>
                        <a:ea typeface="Calibri"/>
                        <a:cs typeface="Calibri"/>
                      </a:rPr>
                      <a:t>(</a:t>
                    </a:r>
                    <a:r>
                      <a:rPr lang="mr-IN" sz="1200" b="0" i="0" u="none" strike="noStrike" baseline="0">
                        <a:solidFill>
                          <a:srgbClr val="3366FF"/>
                        </a:solidFill>
                        <a:latin typeface="Calibri"/>
                        <a:ea typeface="Calibri"/>
                        <a:cs typeface="Calibri"/>
                      </a:rPr>
                      <a:t>R² = 0.4959</a:t>
                    </a:r>
                    <a:r>
                      <a:rPr lang="en-US" sz="1200" b="0" i="0" u="none" strike="noStrike" baseline="0">
                        <a:solidFill>
                          <a:srgbClr val="3366FF"/>
                        </a:solidFill>
                        <a:latin typeface="Calibri"/>
                        <a:ea typeface="Calibri"/>
                        <a:cs typeface="Calibri"/>
                      </a:rPr>
                      <a:t>)</a:t>
                    </a:r>
                    <a:endParaRPr lang="mr-IN" sz="1200" b="0" i="0" u="none" strike="noStrik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endParaRP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[2]Graphs!$V$28:$V$46</c:f>
              <c:numCache>
                <c:formatCode>General</c:formatCode>
                <c:ptCount val="19"/>
                <c:pt idx="0">
                  <c:v>4.75</c:v>
                </c:pt>
                <c:pt idx="1">
                  <c:v>4.75</c:v>
                </c:pt>
                <c:pt idx="2">
                  <c:v>4.75</c:v>
                </c:pt>
                <c:pt idx="3">
                  <c:v>2.12</c:v>
                </c:pt>
                <c:pt idx="4">
                  <c:v>1.03</c:v>
                </c:pt>
                <c:pt idx="5">
                  <c:v>1.03</c:v>
                </c:pt>
                <c:pt idx="6">
                  <c:v>1.03</c:v>
                </c:pt>
                <c:pt idx="7">
                  <c:v>3.83</c:v>
                </c:pt>
                <c:pt idx="8">
                  <c:v>3.83</c:v>
                </c:pt>
                <c:pt idx="9">
                  <c:v>3.83</c:v>
                </c:pt>
                <c:pt idx="10">
                  <c:v>4.62</c:v>
                </c:pt>
                <c:pt idx="11">
                  <c:v>4.62</c:v>
                </c:pt>
                <c:pt idx="12">
                  <c:v>4.62</c:v>
                </c:pt>
                <c:pt idx="13">
                  <c:v>3.24</c:v>
                </c:pt>
                <c:pt idx="14">
                  <c:v>3.24</c:v>
                </c:pt>
                <c:pt idx="15">
                  <c:v>3.24</c:v>
                </c:pt>
                <c:pt idx="16">
                  <c:v>3.94</c:v>
                </c:pt>
                <c:pt idx="17">
                  <c:v>3.94</c:v>
                </c:pt>
                <c:pt idx="18">
                  <c:v>3.94</c:v>
                </c:pt>
              </c:numCache>
            </c:numRef>
          </c:xVal>
          <c:yVal>
            <c:numRef>
              <c:f>[2]Graphs!$W$28:$W$46</c:f>
              <c:numCache>
                <c:formatCode>General</c:formatCode>
                <c:ptCount val="19"/>
                <c:pt idx="0">
                  <c:v>29.77333662475018</c:v>
                </c:pt>
                <c:pt idx="1">
                  <c:v>61.58514476848982</c:v>
                </c:pt>
                <c:pt idx="2">
                  <c:v>31.13050553440633</c:v>
                </c:pt>
                <c:pt idx="3">
                  <c:v>56.49025607665792</c:v>
                </c:pt>
                <c:pt idx="4">
                  <c:v>22.44568939960111</c:v>
                </c:pt>
                <c:pt idx="5">
                  <c:v>18.06451682034561</c:v>
                </c:pt>
                <c:pt idx="6">
                  <c:v>-6.40147690134244</c:v>
                </c:pt>
                <c:pt idx="7">
                  <c:v>69.85511646144553</c:v>
                </c:pt>
                <c:pt idx="8">
                  <c:v>83.45250282465247</c:v>
                </c:pt>
                <c:pt idx="9">
                  <c:v>88.92523959447918</c:v>
                </c:pt>
                <c:pt idx="10">
                  <c:v>98.76763821600318</c:v>
                </c:pt>
                <c:pt idx="11">
                  <c:v>74.35412802922206</c:v>
                </c:pt>
                <c:pt idx="12">
                  <c:v>79.94783365571377</c:v>
                </c:pt>
                <c:pt idx="13">
                  <c:v>56.30690896098418</c:v>
                </c:pt>
                <c:pt idx="14">
                  <c:v>30.97556428650316</c:v>
                </c:pt>
                <c:pt idx="15">
                  <c:v>54.87389656926653</c:v>
                </c:pt>
                <c:pt idx="16">
                  <c:v>74.99151263485966</c:v>
                </c:pt>
                <c:pt idx="17">
                  <c:v>54.25171229465575</c:v>
                </c:pt>
                <c:pt idx="18">
                  <c:v>46.46154723185744</c:v>
                </c:pt>
              </c:numCache>
            </c:numRef>
          </c:yVal>
          <c:smooth val="0"/>
        </c:ser>
        <c:ser>
          <c:idx val="1"/>
          <c:order val="1"/>
          <c:spPr>
            <a:ln w="31750">
              <a:noFill/>
            </a:ln>
          </c:spPr>
          <c:marker>
            <c:spPr>
              <a:solidFill>
                <a:srgbClr val="ED7D31"/>
              </a:solidFill>
              <a:ln>
                <a:solidFill>
                  <a:srgbClr val="FEA746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63AAFE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trendline>
            <c:spPr>
              <a:ln w="3175">
                <a:solidFill>
                  <a:srgbClr val="63AAFE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trendline>
            <c:spPr>
              <a:ln w="3175">
                <a:solidFill>
                  <a:srgbClr val="FEA74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0489236689356336"/>
                  <c:y val="0.390250773108807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0" i="0" u="none" strike="noStrike" baseline="0">
                        <a:solidFill>
                          <a:srgbClr val="FF6600"/>
                        </a:solidFill>
                        <a:latin typeface="Calibri"/>
                        <a:ea typeface="Calibri"/>
                        <a:cs typeface="Calibri"/>
                      </a:rPr>
                      <a:t>10-Week: y = -14.948x</a:t>
                    </a:r>
                    <a:r>
                      <a:rPr lang="en-US" sz="1200" b="0" i="0" u="none" strike="noStrike" baseline="30000">
                        <a:solidFill>
                          <a:srgbClr val="FF66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sz="1200" b="0" i="0" u="none" strike="noStrike" baseline="0">
                        <a:solidFill>
                          <a:srgbClr val="FF6600"/>
                        </a:solidFill>
                        <a:latin typeface="Calibri"/>
                        <a:ea typeface="Calibri"/>
                        <a:cs typeface="Calibri"/>
                      </a:rPr>
                      <a:t> + 108.06x - 126.58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0" i="0" u="none" strike="noStrike" baseline="0">
                        <a:solidFill>
                          <a:srgbClr val="FF6600"/>
                        </a:solidFill>
                        <a:latin typeface="Calibri"/>
                        <a:ea typeface="Calibri"/>
                        <a:cs typeface="Calibri"/>
                      </a:rPr>
                      <a:t>(R² = 0.8121)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[2]Graphs!$V$28:$V$46</c:f>
              <c:numCache>
                <c:formatCode>General</c:formatCode>
                <c:ptCount val="19"/>
                <c:pt idx="0">
                  <c:v>4.75</c:v>
                </c:pt>
                <c:pt idx="1">
                  <c:v>4.75</c:v>
                </c:pt>
                <c:pt idx="2">
                  <c:v>4.75</c:v>
                </c:pt>
                <c:pt idx="3">
                  <c:v>2.12</c:v>
                </c:pt>
                <c:pt idx="4">
                  <c:v>1.03</c:v>
                </c:pt>
                <c:pt idx="5">
                  <c:v>1.03</c:v>
                </c:pt>
                <c:pt idx="6">
                  <c:v>1.03</c:v>
                </c:pt>
                <c:pt idx="7">
                  <c:v>3.83</c:v>
                </c:pt>
                <c:pt idx="8">
                  <c:v>3.83</c:v>
                </c:pt>
                <c:pt idx="9">
                  <c:v>3.83</c:v>
                </c:pt>
                <c:pt idx="10">
                  <c:v>4.62</c:v>
                </c:pt>
                <c:pt idx="11">
                  <c:v>4.62</c:v>
                </c:pt>
                <c:pt idx="12">
                  <c:v>4.62</c:v>
                </c:pt>
                <c:pt idx="13">
                  <c:v>3.24</c:v>
                </c:pt>
                <c:pt idx="14">
                  <c:v>3.24</c:v>
                </c:pt>
                <c:pt idx="15">
                  <c:v>3.24</c:v>
                </c:pt>
                <c:pt idx="16">
                  <c:v>3.94</c:v>
                </c:pt>
                <c:pt idx="17">
                  <c:v>3.94</c:v>
                </c:pt>
                <c:pt idx="18">
                  <c:v>3.94</c:v>
                </c:pt>
              </c:numCache>
            </c:numRef>
          </c:xVal>
          <c:yVal>
            <c:numRef>
              <c:f>[2]Graphs!$X$28:$X$46</c:f>
              <c:numCache>
                <c:formatCode>General</c:formatCode>
                <c:ptCount val="19"/>
                <c:pt idx="0">
                  <c:v>26.10941548457681</c:v>
                </c:pt>
                <c:pt idx="1">
                  <c:v>52.64824153635057</c:v>
                </c:pt>
                <c:pt idx="2">
                  <c:v>29.07402617065717</c:v>
                </c:pt>
                <c:pt idx="3">
                  <c:v>44.71235322851028</c:v>
                </c:pt>
                <c:pt idx="4">
                  <c:v>-22.26764659821608</c:v>
                </c:pt>
                <c:pt idx="5">
                  <c:v>-36.14696080848338</c:v>
                </c:pt>
                <c:pt idx="6">
                  <c:v>-35.15497512214606</c:v>
                </c:pt>
                <c:pt idx="7">
                  <c:v>60.35713180499893</c:v>
                </c:pt>
                <c:pt idx="8">
                  <c:v>72.81382934155981</c:v>
                </c:pt>
                <c:pt idx="9">
                  <c:v>86.50098191836358</c:v>
                </c:pt>
                <c:pt idx="10">
                  <c:v>74.48392511995114</c:v>
                </c:pt>
                <c:pt idx="11">
                  <c:v>51.97621999340259</c:v>
                </c:pt>
                <c:pt idx="12">
                  <c:v>68.93193854663323</c:v>
                </c:pt>
                <c:pt idx="13">
                  <c:v>50.98963447077737</c:v>
                </c:pt>
                <c:pt idx="14">
                  <c:v>49.44206551507508</c:v>
                </c:pt>
                <c:pt idx="15">
                  <c:v>59.9509203842699</c:v>
                </c:pt>
                <c:pt idx="16">
                  <c:v>110.986174627886</c:v>
                </c:pt>
                <c:pt idx="17">
                  <c:v>62.20960466436672</c:v>
                </c:pt>
                <c:pt idx="18">
                  <c:v>48.79218054142738</c:v>
                </c:pt>
              </c:numCache>
            </c:numRef>
          </c:yVal>
          <c:smooth val="0"/>
        </c:ser>
        <c:ser>
          <c:idx val="2"/>
          <c:order val="2"/>
          <c:spPr>
            <a:ln w="31750">
              <a:noFill/>
            </a:ln>
          </c:spPr>
          <c:marker>
            <c:spPr>
              <a:noFill/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[2]Graphs!$V$28:$V$46</c:f>
              <c:numCache>
                <c:formatCode>General</c:formatCode>
                <c:ptCount val="19"/>
                <c:pt idx="0">
                  <c:v>4.75</c:v>
                </c:pt>
                <c:pt idx="1">
                  <c:v>4.75</c:v>
                </c:pt>
                <c:pt idx="2">
                  <c:v>4.75</c:v>
                </c:pt>
                <c:pt idx="3">
                  <c:v>2.12</c:v>
                </c:pt>
                <c:pt idx="4">
                  <c:v>1.03</c:v>
                </c:pt>
                <c:pt idx="5">
                  <c:v>1.03</c:v>
                </c:pt>
                <c:pt idx="6">
                  <c:v>1.03</c:v>
                </c:pt>
                <c:pt idx="7">
                  <c:v>3.83</c:v>
                </c:pt>
                <c:pt idx="8">
                  <c:v>3.83</c:v>
                </c:pt>
                <c:pt idx="9">
                  <c:v>3.83</c:v>
                </c:pt>
                <c:pt idx="10">
                  <c:v>4.62</c:v>
                </c:pt>
                <c:pt idx="11">
                  <c:v>4.62</c:v>
                </c:pt>
                <c:pt idx="12">
                  <c:v>4.62</c:v>
                </c:pt>
                <c:pt idx="13">
                  <c:v>3.24</c:v>
                </c:pt>
                <c:pt idx="14">
                  <c:v>3.24</c:v>
                </c:pt>
                <c:pt idx="15">
                  <c:v>3.24</c:v>
                </c:pt>
                <c:pt idx="16">
                  <c:v>3.94</c:v>
                </c:pt>
                <c:pt idx="17">
                  <c:v>3.94</c:v>
                </c:pt>
                <c:pt idx="18">
                  <c:v>3.94</c:v>
                </c:pt>
              </c:numCache>
            </c:numRef>
          </c:xVal>
          <c:yVal>
            <c:numRef>
              <c:f>[2]Graphs!$Y$28:$Y$46</c:f>
              <c:numCache>
                <c:formatCode>General</c:formatCode>
                <c:ptCount val="19"/>
                <c:pt idx="0">
                  <c:v>63.58657390524598</c:v>
                </c:pt>
                <c:pt idx="1">
                  <c:v>63.58657390524598</c:v>
                </c:pt>
                <c:pt idx="2">
                  <c:v>63.58657390524598</c:v>
                </c:pt>
                <c:pt idx="3">
                  <c:v>24.74179123043935</c:v>
                </c:pt>
                <c:pt idx="4">
                  <c:v>1.054954995852604</c:v>
                </c:pt>
                <c:pt idx="5">
                  <c:v>1.054954995852604</c:v>
                </c:pt>
                <c:pt idx="6">
                  <c:v>1.054954995852604</c:v>
                </c:pt>
                <c:pt idx="7">
                  <c:v>51.64411545043332</c:v>
                </c:pt>
                <c:pt idx="8">
                  <c:v>51.64411545043332</c:v>
                </c:pt>
                <c:pt idx="9">
                  <c:v>51.64411545043332</c:v>
                </c:pt>
                <c:pt idx="10">
                  <c:v>61.974048018428</c:v>
                </c:pt>
                <c:pt idx="11">
                  <c:v>61.974048018428</c:v>
                </c:pt>
                <c:pt idx="12">
                  <c:v>61.974048018428</c:v>
                </c:pt>
                <c:pt idx="13">
                  <c:v>43.21185440538636</c:v>
                </c:pt>
                <c:pt idx="14">
                  <c:v>43.21185440538636</c:v>
                </c:pt>
                <c:pt idx="15">
                  <c:v>43.21185440538636</c:v>
                </c:pt>
                <c:pt idx="16">
                  <c:v>53.14247398141966</c:v>
                </c:pt>
                <c:pt idx="17">
                  <c:v>53.14247398141966</c:v>
                </c:pt>
                <c:pt idx="18">
                  <c:v>53.14247398141966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258936"/>
        <c:axId val="-2133252808"/>
      </c:scatterChart>
      <c:valAx>
        <c:axId val="-2133258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%N</a:t>
                </a:r>
              </a:p>
            </c:rich>
          </c:tx>
          <c:layout>
            <c:manualLayout>
              <c:xMode val="edge"/>
              <c:yMode val="edge"/>
              <c:x val="0.526746052235274"/>
              <c:y val="0.9179319772528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33252808"/>
        <c:crosses val="autoZero"/>
        <c:crossBetween val="midCat"/>
      </c:valAx>
      <c:valAx>
        <c:axId val="-2133252808"/>
        <c:scaling>
          <c:orientation val="minMax"/>
          <c:min val="-40.0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PAN %</a:t>
                </a:r>
              </a:p>
            </c:rich>
          </c:tx>
          <c:layout>
            <c:manualLayout>
              <c:xMode val="edge"/>
              <c:yMode val="edge"/>
              <c:x val="0.0246406570841889"/>
              <c:y val="0.377612847898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133258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988407699038"/>
          <c:y val="0.12037037037037"/>
          <c:w val="0.836886701662292"/>
          <c:h val="0.717592592592592"/>
        </c:manualLayout>
      </c:layout>
      <c:scatterChart>
        <c:scatterStyle val="lineMarker"/>
        <c:varyColors val="0"/>
        <c:ser>
          <c:idx val="0"/>
          <c:order val="0"/>
          <c:tx>
            <c:v>4 Week</c:v>
          </c:tx>
          <c:spPr>
            <a:ln w="31750">
              <a:noFill/>
            </a:ln>
          </c:spPr>
          <c:trendline>
            <c:spPr>
              <a:ln>
                <a:solidFill>
                  <a:srgbClr val="3366FF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308869135498688"/>
                  <c:y val="0.260333187518227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3366FF"/>
                        </a:solidFill>
                      </a:defRPr>
                    </a:pPr>
                    <a:r>
                      <a:rPr lang="en-US">
                        <a:solidFill>
                          <a:srgbClr val="3366FF"/>
                        </a:solidFill>
                      </a:rPr>
                      <a:t>4-Week: y = 0.562x2 + 1.6376x + 52.677
(R² = 0.73815)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[3]Poamoho!$Q$4:$Q$23</c:f>
              <c:numCache>
                <c:formatCode>General</c:formatCode>
                <c:ptCount val="20"/>
                <c:pt idx="0">
                  <c:v>2.62</c:v>
                </c:pt>
                <c:pt idx="1">
                  <c:v>2.03</c:v>
                </c:pt>
                <c:pt idx="2">
                  <c:v>2.97</c:v>
                </c:pt>
                <c:pt idx="3">
                  <c:v>3.86</c:v>
                </c:pt>
                <c:pt idx="4">
                  <c:v>1.86</c:v>
                </c:pt>
                <c:pt idx="5">
                  <c:v>3.28</c:v>
                </c:pt>
                <c:pt idx="6">
                  <c:v>2.82</c:v>
                </c:pt>
                <c:pt idx="7">
                  <c:v>3.06</c:v>
                </c:pt>
                <c:pt idx="8">
                  <c:v>3.52</c:v>
                </c:pt>
                <c:pt idx="9">
                  <c:v>3.23</c:v>
                </c:pt>
                <c:pt idx="10">
                  <c:v>3.51</c:v>
                </c:pt>
                <c:pt idx="11">
                  <c:v>3.61</c:v>
                </c:pt>
                <c:pt idx="12">
                  <c:v>1.66</c:v>
                </c:pt>
                <c:pt idx="13">
                  <c:v>1.97</c:v>
                </c:pt>
                <c:pt idx="14">
                  <c:v>2.97</c:v>
                </c:pt>
                <c:pt idx="15">
                  <c:v>1.08</c:v>
                </c:pt>
                <c:pt idx="16">
                  <c:v>5.46</c:v>
                </c:pt>
                <c:pt idx="17">
                  <c:v>4.42</c:v>
                </c:pt>
                <c:pt idx="18">
                  <c:v>3.58</c:v>
                </c:pt>
                <c:pt idx="19">
                  <c:v>4.25</c:v>
                </c:pt>
              </c:numCache>
            </c:numRef>
          </c:xVal>
          <c:yVal>
            <c:numRef>
              <c:f>[3]Poamoho!$R$4:$R$23</c:f>
              <c:numCache>
                <c:formatCode>General</c:formatCode>
                <c:ptCount val="20"/>
                <c:pt idx="0">
                  <c:v>61.6686134109186</c:v>
                </c:pt>
                <c:pt idx="1">
                  <c:v>62.3666722804654</c:v>
                </c:pt>
                <c:pt idx="2">
                  <c:v>64.83632507339404</c:v>
                </c:pt>
                <c:pt idx="3">
                  <c:v>66.08931814539825</c:v>
                </c:pt>
                <c:pt idx="4">
                  <c:v>56.33989987123881</c:v>
                </c:pt>
                <c:pt idx="5">
                  <c:v>67.93441009387612</c:v>
                </c:pt>
                <c:pt idx="6">
                  <c:v>60.53210622990968</c:v>
                </c:pt>
                <c:pt idx="7">
                  <c:v>66.07175846296933</c:v>
                </c:pt>
                <c:pt idx="8">
                  <c:v>66.65687223451326</c:v>
                </c:pt>
                <c:pt idx="9">
                  <c:v>64.31832995096804</c:v>
                </c:pt>
                <c:pt idx="10">
                  <c:v>65.60569680542872</c:v>
                </c:pt>
                <c:pt idx="11">
                  <c:v>67.9598779397645</c:v>
                </c:pt>
                <c:pt idx="12">
                  <c:v>59.89765474333575</c:v>
                </c:pt>
                <c:pt idx="13">
                  <c:v>56.19936360681154</c:v>
                </c:pt>
                <c:pt idx="14">
                  <c:v>51.51637623346629</c:v>
                </c:pt>
                <c:pt idx="15">
                  <c:v>53.34439941127365</c:v>
                </c:pt>
                <c:pt idx="16">
                  <c:v>78.88986013986012</c:v>
                </c:pt>
                <c:pt idx="17">
                  <c:v>70.02615950226245</c:v>
                </c:pt>
                <c:pt idx="18">
                  <c:v>63.47104786350594</c:v>
                </c:pt>
                <c:pt idx="19">
                  <c:v>69.6840885887065</c:v>
                </c:pt>
              </c:numCache>
            </c:numRef>
          </c:yVal>
          <c:smooth val="0"/>
        </c:ser>
        <c:ser>
          <c:idx val="1"/>
          <c:order val="1"/>
          <c:tx>
            <c:v>10 Week</c:v>
          </c:tx>
          <c:spPr>
            <a:ln w="31750">
              <a:noFill/>
            </a:ln>
          </c:spPr>
          <c:trendline>
            <c:spPr>
              <a:ln>
                <a:solidFill>
                  <a:srgbClr val="FF66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86752087807206"/>
                  <c:y val="-0.0208034222994853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FF6600"/>
                        </a:solidFill>
                      </a:defRPr>
                    </a:pPr>
                    <a:r>
                      <a:rPr lang="en-US">
                        <a:solidFill>
                          <a:srgbClr val="FF6600"/>
                        </a:solidFill>
                      </a:rPr>
                      <a:t>10-Week: y = -0.5346x2 + 9.4219x + 53.371
(R² = 0.8666)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[3]Poamoho!$Q$4:$Q$23</c:f>
              <c:numCache>
                <c:formatCode>General</c:formatCode>
                <c:ptCount val="20"/>
                <c:pt idx="0">
                  <c:v>2.62</c:v>
                </c:pt>
                <c:pt idx="1">
                  <c:v>2.03</c:v>
                </c:pt>
                <c:pt idx="2">
                  <c:v>2.97</c:v>
                </c:pt>
                <c:pt idx="3">
                  <c:v>3.86</c:v>
                </c:pt>
                <c:pt idx="4">
                  <c:v>1.86</c:v>
                </c:pt>
                <c:pt idx="5">
                  <c:v>3.28</c:v>
                </c:pt>
                <c:pt idx="6">
                  <c:v>2.82</c:v>
                </c:pt>
                <c:pt idx="7">
                  <c:v>3.06</c:v>
                </c:pt>
                <c:pt idx="8">
                  <c:v>3.52</c:v>
                </c:pt>
                <c:pt idx="9">
                  <c:v>3.23</c:v>
                </c:pt>
                <c:pt idx="10">
                  <c:v>3.51</c:v>
                </c:pt>
                <c:pt idx="11">
                  <c:v>3.61</c:v>
                </c:pt>
                <c:pt idx="12">
                  <c:v>1.66</c:v>
                </c:pt>
                <c:pt idx="13">
                  <c:v>1.97</c:v>
                </c:pt>
                <c:pt idx="14">
                  <c:v>2.97</c:v>
                </c:pt>
                <c:pt idx="15">
                  <c:v>1.08</c:v>
                </c:pt>
                <c:pt idx="16">
                  <c:v>5.46</c:v>
                </c:pt>
                <c:pt idx="17">
                  <c:v>4.42</c:v>
                </c:pt>
                <c:pt idx="18">
                  <c:v>3.58</c:v>
                </c:pt>
                <c:pt idx="19">
                  <c:v>4.25</c:v>
                </c:pt>
              </c:numCache>
            </c:numRef>
          </c:xVal>
          <c:yVal>
            <c:numRef>
              <c:f>[3]Poamoho!$S$4:$S$23</c:f>
              <c:numCache>
                <c:formatCode>General</c:formatCode>
                <c:ptCount val="20"/>
                <c:pt idx="0">
                  <c:v>73.2696396961409</c:v>
                </c:pt>
                <c:pt idx="1">
                  <c:v>70.4496652772515</c:v>
                </c:pt>
                <c:pt idx="2">
                  <c:v>75.83843359705428</c:v>
                </c:pt>
                <c:pt idx="3">
                  <c:v>81.13749265530691</c:v>
                </c:pt>
                <c:pt idx="4">
                  <c:v>65.75079628625643</c:v>
                </c:pt>
                <c:pt idx="5">
                  <c:v>79.88654807861028</c:v>
                </c:pt>
                <c:pt idx="6">
                  <c:v>75.25256390632174</c:v>
                </c:pt>
                <c:pt idx="7">
                  <c:v>80.01121176215774</c:v>
                </c:pt>
                <c:pt idx="8">
                  <c:v>83.0683075221239</c:v>
                </c:pt>
                <c:pt idx="9">
                  <c:v>80.83976476513544</c:v>
                </c:pt>
                <c:pt idx="10">
                  <c:v>81.5018315018315</c:v>
                </c:pt>
                <c:pt idx="11">
                  <c:v>81.36263809029808</c:v>
                </c:pt>
                <c:pt idx="12">
                  <c:v>68.30772202241076</c:v>
                </c:pt>
                <c:pt idx="13">
                  <c:v>67.08043400674244</c:v>
                </c:pt>
                <c:pt idx="14">
                  <c:v>69.54230526978794</c:v>
                </c:pt>
                <c:pt idx="15">
                  <c:v>66.33331136593293</c:v>
                </c:pt>
                <c:pt idx="16">
                  <c:v>87.78721278721278</c:v>
                </c:pt>
                <c:pt idx="17">
                  <c:v>83.7302036199095</c:v>
                </c:pt>
                <c:pt idx="18">
                  <c:v>81.6472897478484</c:v>
                </c:pt>
                <c:pt idx="19">
                  <c:v>83.5820309432184</c:v>
                </c:pt>
              </c:numCache>
            </c:numRef>
          </c:yVal>
          <c:smooth val="0"/>
        </c:ser>
        <c:ser>
          <c:idx val="2"/>
          <c:order val="2"/>
          <c:tx>
            <c:v>VK</c:v>
          </c:tx>
          <c:spPr>
            <a:ln w="31750">
              <a:noFill/>
            </a:ln>
          </c:spPr>
          <c:marker>
            <c:spPr>
              <a:noFill/>
              <a:ln>
                <a:noFill/>
              </a:ln>
            </c:spPr>
          </c:marker>
          <c:trendline>
            <c:spPr>
              <a:ln>
                <a:solidFill>
                  <a:schemeClr val="tx1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[3]Poamoho!$Q$4:$Q$23</c:f>
              <c:numCache>
                <c:formatCode>General</c:formatCode>
                <c:ptCount val="20"/>
                <c:pt idx="0">
                  <c:v>2.62</c:v>
                </c:pt>
                <c:pt idx="1">
                  <c:v>2.03</c:v>
                </c:pt>
                <c:pt idx="2">
                  <c:v>2.97</c:v>
                </c:pt>
                <c:pt idx="3">
                  <c:v>3.86</c:v>
                </c:pt>
                <c:pt idx="4">
                  <c:v>1.86</c:v>
                </c:pt>
                <c:pt idx="5">
                  <c:v>3.28</c:v>
                </c:pt>
                <c:pt idx="6">
                  <c:v>2.82</c:v>
                </c:pt>
                <c:pt idx="7">
                  <c:v>3.06</c:v>
                </c:pt>
                <c:pt idx="8">
                  <c:v>3.52</c:v>
                </c:pt>
                <c:pt idx="9">
                  <c:v>3.23</c:v>
                </c:pt>
                <c:pt idx="10">
                  <c:v>3.51</c:v>
                </c:pt>
                <c:pt idx="11">
                  <c:v>3.61</c:v>
                </c:pt>
                <c:pt idx="12">
                  <c:v>1.66</c:v>
                </c:pt>
                <c:pt idx="13">
                  <c:v>1.97</c:v>
                </c:pt>
                <c:pt idx="14">
                  <c:v>2.97</c:v>
                </c:pt>
                <c:pt idx="15">
                  <c:v>1.08</c:v>
                </c:pt>
                <c:pt idx="16">
                  <c:v>5.46</c:v>
                </c:pt>
                <c:pt idx="17">
                  <c:v>4.42</c:v>
                </c:pt>
                <c:pt idx="18">
                  <c:v>3.58</c:v>
                </c:pt>
                <c:pt idx="19">
                  <c:v>4.25</c:v>
                </c:pt>
              </c:numCache>
            </c:numRef>
          </c:xVal>
          <c:yVal>
            <c:numRef>
              <c:f>[3]Poamoho!$T$4:$T$23</c:f>
              <c:numCache>
                <c:formatCode>General</c:formatCode>
                <c:ptCount val="20"/>
                <c:pt idx="0">
                  <c:v>33.4737185949376</c:v>
                </c:pt>
                <c:pt idx="1">
                  <c:v>23.06427517465936</c:v>
                </c:pt>
                <c:pt idx="2">
                  <c:v>39.09710542263573</c:v>
                </c:pt>
                <c:pt idx="3">
                  <c:v>52.0548692591256</c:v>
                </c:pt>
                <c:pt idx="4">
                  <c:v>19.79086398507123</c:v>
                </c:pt>
                <c:pt idx="5">
                  <c:v>43.80664066177299</c:v>
                </c:pt>
                <c:pt idx="6">
                  <c:v>36.73003537761312</c:v>
                </c:pt>
                <c:pt idx="7">
                  <c:v>40.48871893089994</c:v>
                </c:pt>
                <c:pt idx="8">
                  <c:v>47.3016402487075</c:v>
                </c:pt>
                <c:pt idx="9">
                  <c:v>43.06258504309613</c:v>
                </c:pt>
                <c:pt idx="10">
                  <c:v>47.15843955052184</c:v>
                </c:pt>
                <c:pt idx="11">
                  <c:v>48.58140187235226</c:v>
                </c:pt>
                <c:pt idx="12">
                  <c:v>15.74177968222558</c:v>
                </c:pt>
                <c:pt idx="13">
                  <c:v>21.92519010790062</c:v>
                </c:pt>
                <c:pt idx="14">
                  <c:v>39.09710542263573</c:v>
                </c:pt>
                <c:pt idx="15">
                  <c:v>2.361974158626331</c:v>
                </c:pt>
                <c:pt idx="16">
                  <c:v>72.02829814738065</c:v>
                </c:pt>
                <c:pt idx="17">
                  <c:v>59.44827078133495</c:v>
                </c:pt>
                <c:pt idx="18">
                  <c:v>48.15660584881762</c:v>
                </c:pt>
                <c:pt idx="19">
                  <c:v>57.25605684034099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836200"/>
        <c:axId val="-2132832824"/>
      </c:scatterChart>
      <c:valAx>
        <c:axId val="-213283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2832824"/>
        <c:crosses val="autoZero"/>
        <c:crossBetween val="midCat"/>
      </c:valAx>
      <c:valAx>
        <c:axId val="-2132832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283620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246062992126"/>
          <c:y val="0.12037037037037"/>
          <c:w val="0.810115048118985"/>
          <c:h val="0.763888888888889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spPr>
              <a:ln>
                <a:solidFill>
                  <a:srgbClr val="3366FF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02987532808399"/>
                  <c:y val="-0.215131598133567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3366FF"/>
                        </a:solidFill>
                      </a:defRPr>
                    </a:pPr>
                    <a:r>
                      <a:rPr lang="en-US">
                        <a:solidFill>
                          <a:srgbClr val="3366FF"/>
                        </a:solidFill>
                      </a:rPr>
                      <a:t>4 Week: y = -0.2816x2 + 8.6031x - 13.157
(R² = 0.86737, P=0.019)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[4]Kauai!$C$4:$C$21</c:f>
              <c:numCache>
                <c:formatCode>General</c:formatCode>
                <c:ptCount val="18"/>
                <c:pt idx="0">
                  <c:v>1.18</c:v>
                </c:pt>
                <c:pt idx="1">
                  <c:v>1.18</c:v>
                </c:pt>
                <c:pt idx="2">
                  <c:v>1.18</c:v>
                </c:pt>
                <c:pt idx="3">
                  <c:v>3.99</c:v>
                </c:pt>
                <c:pt idx="4">
                  <c:v>3.99</c:v>
                </c:pt>
                <c:pt idx="5">
                  <c:v>3.99</c:v>
                </c:pt>
                <c:pt idx="6">
                  <c:v>2.95</c:v>
                </c:pt>
                <c:pt idx="7">
                  <c:v>2.95</c:v>
                </c:pt>
                <c:pt idx="8">
                  <c:v>2.95</c:v>
                </c:pt>
                <c:pt idx="9">
                  <c:v>0.55</c:v>
                </c:pt>
                <c:pt idx="10">
                  <c:v>0.55</c:v>
                </c:pt>
                <c:pt idx="11">
                  <c:v>0.55</c:v>
                </c:pt>
                <c:pt idx="12">
                  <c:v>3.81</c:v>
                </c:pt>
                <c:pt idx="13">
                  <c:v>3.81</c:v>
                </c:pt>
                <c:pt idx="14">
                  <c:v>3.81</c:v>
                </c:pt>
                <c:pt idx="15">
                  <c:v>5.04</c:v>
                </c:pt>
                <c:pt idx="16">
                  <c:v>5.04</c:v>
                </c:pt>
                <c:pt idx="17">
                  <c:v>5.04</c:v>
                </c:pt>
              </c:numCache>
            </c:numRef>
          </c:xVal>
          <c:yVal>
            <c:numRef>
              <c:f>[4]Kauai!$D$4:$D$21</c:f>
              <c:numCache>
                <c:formatCode>General</c:formatCode>
                <c:ptCount val="18"/>
                <c:pt idx="0">
                  <c:v>-5.875706214689265</c:v>
                </c:pt>
                <c:pt idx="1">
                  <c:v>-5.875706214689265</c:v>
                </c:pt>
                <c:pt idx="2">
                  <c:v>-4.858757062146894</c:v>
                </c:pt>
                <c:pt idx="3">
                  <c:v>9.289891395154552</c:v>
                </c:pt>
                <c:pt idx="4">
                  <c:v>11.4703425229741</c:v>
                </c:pt>
                <c:pt idx="5">
                  <c:v>10.01670843776107</c:v>
                </c:pt>
                <c:pt idx="6">
                  <c:v>10.15819209039548</c:v>
                </c:pt>
                <c:pt idx="7">
                  <c:v>11.5819209039548</c:v>
                </c:pt>
                <c:pt idx="8">
                  <c:v>14.53107344632768</c:v>
                </c:pt>
                <c:pt idx="9">
                  <c:v>-10.42424242424243</c:v>
                </c:pt>
                <c:pt idx="10">
                  <c:v>-5.87878787878788</c:v>
                </c:pt>
                <c:pt idx="11">
                  <c:v>-5.87878787878788</c:v>
                </c:pt>
                <c:pt idx="12">
                  <c:v>13.167104111986</c:v>
                </c:pt>
                <c:pt idx="13">
                  <c:v>26.2904636920385</c:v>
                </c:pt>
                <c:pt idx="14">
                  <c:v>19.70253718285214</c:v>
                </c:pt>
                <c:pt idx="15">
                  <c:v>20.92592592592592</c:v>
                </c:pt>
                <c:pt idx="16">
                  <c:v>23.4457671957672</c:v>
                </c:pt>
                <c:pt idx="17">
                  <c:v>27.61243386243387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trendline>
            <c:spPr>
              <a:ln>
                <a:solidFill>
                  <a:srgbClr val="FF6600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9464457567804"/>
                  <c:y val="-0.247049431321085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FF6600"/>
                        </a:solidFill>
                      </a:defRPr>
                    </a:pPr>
                    <a:r>
                      <a:rPr lang="en-US">
                        <a:solidFill>
                          <a:srgbClr val="FF6600"/>
                        </a:solidFill>
                      </a:rPr>
                      <a:t>10 Week: y = 1.7427x2 - 3.1886x + 10.069
(R² = 0.46765, P=0.704)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[4]Kauai!$C$4:$C$21</c:f>
              <c:numCache>
                <c:formatCode>General</c:formatCode>
                <c:ptCount val="18"/>
                <c:pt idx="0">
                  <c:v>1.18</c:v>
                </c:pt>
                <c:pt idx="1">
                  <c:v>1.18</c:v>
                </c:pt>
                <c:pt idx="2">
                  <c:v>1.18</c:v>
                </c:pt>
                <c:pt idx="3">
                  <c:v>3.99</c:v>
                </c:pt>
                <c:pt idx="4">
                  <c:v>3.99</c:v>
                </c:pt>
                <c:pt idx="5">
                  <c:v>3.99</c:v>
                </c:pt>
                <c:pt idx="6">
                  <c:v>2.95</c:v>
                </c:pt>
                <c:pt idx="7">
                  <c:v>2.95</c:v>
                </c:pt>
                <c:pt idx="8">
                  <c:v>2.95</c:v>
                </c:pt>
                <c:pt idx="9">
                  <c:v>0.55</c:v>
                </c:pt>
                <c:pt idx="10">
                  <c:v>0.55</c:v>
                </c:pt>
                <c:pt idx="11">
                  <c:v>0.55</c:v>
                </c:pt>
                <c:pt idx="12">
                  <c:v>3.81</c:v>
                </c:pt>
                <c:pt idx="13">
                  <c:v>3.81</c:v>
                </c:pt>
                <c:pt idx="14">
                  <c:v>3.81</c:v>
                </c:pt>
                <c:pt idx="15">
                  <c:v>5.04</c:v>
                </c:pt>
                <c:pt idx="16">
                  <c:v>5.04</c:v>
                </c:pt>
                <c:pt idx="17">
                  <c:v>5.04</c:v>
                </c:pt>
              </c:numCache>
            </c:numRef>
          </c:xVal>
          <c:yVal>
            <c:numRef>
              <c:f>[4]Kauai!$E$4:$E$21</c:f>
              <c:numCache>
                <c:formatCode>General</c:formatCode>
                <c:ptCount val="18"/>
                <c:pt idx="0">
                  <c:v>-11.90254237288136</c:v>
                </c:pt>
                <c:pt idx="1">
                  <c:v>-2.682203389830508</c:v>
                </c:pt>
                <c:pt idx="2">
                  <c:v>-7.724576271186437</c:v>
                </c:pt>
                <c:pt idx="3">
                  <c:v>13.90100250626566</c:v>
                </c:pt>
                <c:pt idx="4">
                  <c:v>19.91854636591479</c:v>
                </c:pt>
                <c:pt idx="5">
                  <c:v>21.38972431077694</c:v>
                </c:pt>
                <c:pt idx="6">
                  <c:v>17.97796610169491</c:v>
                </c:pt>
                <c:pt idx="7">
                  <c:v>25.50677966101695</c:v>
                </c:pt>
                <c:pt idx="8">
                  <c:v>27.92711864406779</c:v>
                </c:pt>
                <c:pt idx="9">
                  <c:v>3.772727272727277</c:v>
                </c:pt>
                <c:pt idx="10">
                  <c:v>32.7181818181818</c:v>
                </c:pt>
                <c:pt idx="11">
                  <c:v>20.48181818181817</c:v>
                </c:pt>
                <c:pt idx="12">
                  <c:v>22.00656167979002</c:v>
                </c:pt>
                <c:pt idx="13">
                  <c:v>29.62335958005249</c:v>
                </c:pt>
                <c:pt idx="14">
                  <c:v>35.57874015748031</c:v>
                </c:pt>
                <c:pt idx="15">
                  <c:v>35.6359126984127</c:v>
                </c:pt>
                <c:pt idx="16">
                  <c:v>35.6359126984127</c:v>
                </c:pt>
                <c:pt idx="17">
                  <c:v>40.16170634920635</c:v>
                </c:pt>
              </c:numCache>
            </c:numRef>
          </c:yVal>
          <c:smooth val="0"/>
        </c:ser>
        <c:ser>
          <c:idx val="2"/>
          <c:order val="2"/>
          <c:spPr>
            <a:ln w="31750">
              <a:noFill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[4]Kauai!$C$4:$C$21</c:f>
              <c:numCache>
                <c:formatCode>General</c:formatCode>
                <c:ptCount val="18"/>
                <c:pt idx="0">
                  <c:v>1.18</c:v>
                </c:pt>
                <c:pt idx="1">
                  <c:v>1.18</c:v>
                </c:pt>
                <c:pt idx="2">
                  <c:v>1.18</c:v>
                </c:pt>
                <c:pt idx="3">
                  <c:v>3.99</c:v>
                </c:pt>
                <c:pt idx="4">
                  <c:v>3.99</c:v>
                </c:pt>
                <c:pt idx="5">
                  <c:v>3.99</c:v>
                </c:pt>
                <c:pt idx="6">
                  <c:v>2.95</c:v>
                </c:pt>
                <c:pt idx="7">
                  <c:v>2.95</c:v>
                </c:pt>
                <c:pt idx="8">
                  <c:v>2.95</c:v>
                </c:pt>
                <c:pt idx="9">
                  <c:v>0.55</c:v>
                </c:pt>
                <c:pt idx="10">
                  <c:v>0.55</c:v>
                </c:pt>
                <c:pt idx="11">
                  <c:v>0.55</c:v>
                </c:pt>
                <c:pt idx="12">
                  <c:v>3.81</c:v>
                </c:pt>
                <c:pt idx="13">
                  <c:v>3.81</c:v>
                </c:pt>
                <c:pt idx="14">
                  <c:v>3.81</c:v>
                </c:pt>
                <c:pt idx="15">
                  <c:v>5.04</c:v>
                </c:pt>
                <c:pt idx="16">
                  <c:v>5.04</c:v>
                </c:pt>
                <c:pt idx="17">
                  <c:v>5.04</c:v>
                </c:pt>
              </c:numCache>
            </c:numRef>
          </c:xVal>
          <c:yVal>
            <c:numRef>
              <c:f>[4]Kauai!$F$4:$F$21</c:f>
              <c:numCache>
                <c:formatCode>General</c:formatCode>
                <c:ptCount val="18"/>
                <c:pt idx="0">
                  <c:v>4.888215470730806</c:v>
                </c:pt>
                <c:pt idx="1">
                  <c:v>4.888215470730806</c:v>
                </c:pt>
                <c:pt idx="2">
                  <c:v>4.888215470730806</c:v>
                </c:pt>
                <c:pt idx="3">
                  <c:v>53.81662664842673</c:v>
                </c:pt>
                <c:pt idx="4">
                  <c:v>53.81662664842673</c:v>
                </c:pt>
                <c:pt idx="5">
                  <c:v>53.81662664842673</c:v>
                </c:pt>
                <c:pt idx="6">
                  <c:v>38.78500637028983</c:v>
                </c:pt>
                <c:pt idx="7">
                  <c:v>38.78500637028983</c:v>
                </c:pt>
                <c:pt idx="8">
                  <c:v>38.78500637028983</c:v>
                </c:pt>
                <c:pt idx="9">
                  <c:v>-13.61837019909908</c:v>
                </c:pt>
                <c:pt idx="10">
                  <c:v>-13.61837019909908</c:v>
                </c:pt>
                <c:pt idx="11">
                  <c:v>-13.61837019909908</c:v>
                </c:pt>
                <c:pt idx="12">
                  <c:v>51.36938526677847</c:v>
                </c:pt>
                <c:pt idx="13">
                  <c:v>51.36938526677847</c:v>
                </c:pt>
                <c:pt idx="14">
                  <c:v>51.36938526677847</c:v>
                </c:pt>
                <c:pt idx="15">
                  <c:v>67.10604166043778</c:v>
                </c:pt>
                <c:pt idx="16">
                  <c:v>67.10604166043778</c:v>
                </c:pt>
                <c:pt idx="17">
                  <c:v>67.10604166043778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795928"/>
        <c:axId val="-2133792520"/>
      </c:scatterChart>
      <c:valAx>
        <c:axId val="-213379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3792520"/>
        <c:crosses val="autoZero"/>
        <c:crossBetween val="midCat"/>
      </c:valAx>
      <c:valAx>
        <c:axId val="-21337925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379592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9.xml"/><Relationship Id="rId12" Type="http://schemas.openxmlformats.org/officeDocument/2006/relationships/chart" Target="../charts/chart10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1.png"/><Relationship Id="rId6" Type="http://schemas.openxmlformats.org/officeDocument/2006/relationships/image" Target="../media/image2.png"/><Relationship Id="rId7" Type="http://schemas.openxmlformats.org/officeDocument/2006/relationships/chart" Target="../charts/chart5.xml"/><Relationship Id="rId8" Type="http://schemas.openxmlformats.org/officeDocument/2006/relationships/chart" Target="../charts/chart6.xml"/><Relationship Id="rId9" Type="http://schemas.openxmlformats.org/officeDocument/2006/relationships/chart" Target="../charts/chart7.xml"/><Relationship Id="rId10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2</xdr:col>
      <xdr:colOff>5340559</xdr:colOff>
      <xdr:row>0</xdr:row>
      <xdr:rowOff>437042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0" y="28575"/>
          <a:ext cx="5340559" cy="408467"/>
        </a:xfrm>
        <a:prstGeom prst="rect">
          <a:avLst/>
        </a:prstGeom>
      </xdr:spPr>
    </xdr:pic>
    <xdr:clientData/>
  </xdr:twoCellAnchor>
  <xdr:twoCellAnchor editAs="oneCell">
    <xdr:from>
      <xdr:col>1</xdr:col>
      <xdr:colOff>212948</xdr:colOff>
      <xdr:row>0</xdr:row>
      <xdr:rowOff>38100</xdr:rowOff>
    </xdr:from>
    <xdr:to>
      <xdr:col>1</xdr:col>
      <xdr:colOff>1066799</xdr:colOff>
      <xdr:row>1</xdr:row>
      <xdr:rowOff>495099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" b="9941"/>
        <a:stretch/>
      </xdr:blipFill>
      <xdr:spPr>
        <a:xfrm>
          <a:off x="403448" y="38100"/>
          <a:ext cx="853851" cy="9237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0.4563</cdr:x>
      <cdr:y>0.33636</cdr:y>
    </cdr:from>
    <cdr:to>
      <cdr:x>0.49039</cdr:x>
      <cdr:y>0.42267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2951968" y="1072719"/>
          <a:ext cx="220539" cy="27525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0.52944</cdr:x>
      <cdr:y>0.62666</cdr:y>
    </cdr:from>
    <cdr:to>
      <cdr:x>0.56379</cdr:x>
      <cdr:y>0.7304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3425130" y="1998533"/>
          <a:ext cx="222221" cy="33084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3366FF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0.01003</cdr:x>
      <cdr:y>0.35097</cdr:y>
    </cdr:from>
    <cdr:to>
      <cdr:x>0.05641</cdr:x>
      <cdr:y>0.57774</cdr:y>
    </cdr:to>
    <cdr:sp macro="" textlink="">
      <cdr:nvSpPr>
        <cdr:cNvPr id="5" name="TextBox 1"/>
        <cdr:cNvSpPr txBox="1"/>
      </cdr:nvSpPr>
      <cdr:spPr>
        <a:xfrm xmlns:a="http://schemas.openxmlformats.org/drawingml/2006/main" rot="16200000">
          <a:off x="-146712" y="1330883"/>
          <a:ext cx="723210" cy="300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</a:rPr>
            <a:t>PAN</a:t>
          </a:r>
          <a:r>
            <a:rPr lang="en-US" sz="1100" b="1" baseline="0">
              <a:solidFill>
                <a:schemeClr val="tx1"/>
              </a:solidFill>
            </a:rPr>
            <a:t> %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0.3578</cdr:x>
      <cdr:y>0</cdr:y>
    </cdr:from>
    <cdr:to>
      <cdr:x>0.66036</cdr:x>
      <cdr:y>0.09572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2314747" y="0"/>
          <a:ext cx="1957358" cy="3052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Waimanalo, Oahu</a:t>
          </a:r>
        </a:p>
      </cdr:txBody>
    </cdr:sp>
  </cdr:relSizeAnchor>
  <cdr:relSizeAnchor xmlns:cdr="http://schemas.openxmlformats.org/drawingml/2006/chartDrawing">
    <cdr:from>
      <cdr:x>0.44762</cdr:x>
      <cdr:y>0.6961</cdr:y>
    </cdr:from>
    <cdr:to>
      <cdr:x>0.52492</cdr:x>
      <cdr:y>0.75961</cdr:y>
    </cdr:to>
    <cdr:sp macro="" textlink="">
      <cdr:nvSpPr>
        <cdr:cNvPr id="8" name="TextBox 3"/>
        <cdr:cNvSpPr txBox="1"/>
      </cdr:nvSpPr>
      <cdr:spPr>
        <a:xfrm xmlns:a="http://schemas.openxmlformats.org/drawingml/2006/main">
          <a:off x="2895805" y="2220000"/>
          <a:ext cx="500078" cy="20254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 N</a:t>
          </a:r>
        </a:p>
      </cdr:txBody>
    </cdr:sp>
  </cdr:relSizeAnchor>
  <cdr:relSizeAnchor xmlns:cdr="http://schemas.openxmlformats.org/drawingml/2006/chartDrawing">
    <cdr:from>
      <cdr:x>0.33707</cdr:x>
      <cdr:y>0.50228</cdr:y>
    </cdr:from>
    <cdr:to>
      <cdr:x>0.37348</cdr:x>
      <cdr:y>0.57145</cdr:y>
    </cdr:to>
    <cdr:cxnSp macro="">
      <cdr:nvCxnSpPr>
        <cdr:cNvPr id="12" name="Straight Arrow Connector 7"/>
        <cdr:cNvCxnSpPr/>
      </cdr:nvCxnSpPr>
      <cdr:spPr>
        <a:xfrm xmlns:a="http://schemas.openxmlformats.org/drawingml/2006/main">
          <a:off x="2180608" y="1601866"/>
          <a:ext cx="235567" cy="22058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0.2022</cdr:x>
      <cdr:y>0.43008</cdr:y>
    </cdr:from>
    <cdr:to>
      <cdr:x>0.34046</cdr:x>
      <cdr:y>0.51211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1308100" y="1371600"/>
          <a:ext cx="894477" cy="2616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/>
            <a:t>VK</a:t>
          </a:r>
          <a:r>
            <a:rPr lang="en-US" sz="1100" b="0" baseline="0"/>
            <a:t> Equation</a:t>
          </a:r>
          <a:endParaRPr lang="en-US" sz="1100" b="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0.26963</cdr:y>
    </cdr:from>
    <cdr:to>
      <cdr:x>0.05739</cdr:x>
      <cdr:y>0.55407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00037" y="1166813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/>
            <a:t>PAN  %</a:t>
          </a:r>
        </a:p>
      </cdr:txBody>
    </cdr:sp>
  </cdr:relSizeAnchor>
  <cdr:relSizeAnchor xmlns:cdr="http://schemas.openxmlformats.org/drawingml/2006/chartDrawing">
    <cdr:from>
      <cdr:x>0.46049</cdr:x>
      <cdr:y>0.91032</cdr:y>
    </cdr:from>
    <cdr:to>
      <cdr:x>0.62745</cdr:x>
      <cdr:y>0.98735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55963" y="2741413"/>
          <a:ext cx="999235" cy="23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% N</a:t>
          </a:r>
        </a:p>
      </cdr:txBody>
    </cdr:sp>
  </cdr:relSizeAnchor>
  <cdr:relSizeAnchor xmlns:cdr="http://schemas.openxmlformats.org/drawingml/2006/chartDrawing">
    <cdr:from>
      <cdr:x>0.52606</cdr:x>
      <cdr:y>0.23633</cdr:y>
    </cdr:from>
    <cdr:to>
      <cdr:x>0.56432</cdr:x>
      <cdr:y>0.30744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3148383" y="711709"/>
          <a:ext cx="228982" cy="21414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0.52656</cdr:x>
      <cdr:y>0.54281</cdr:y>
    </cdr:from>
    <cdr:to>
      <cdr:x>0.5922</cdr:x>
      <cdr:y>0.68207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 flipV="1">
          <a:off x="3236646" y="1707327"/>
          <a:ext cx="403476" cy="43802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3366FF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0.25344</cdr:x>
      <cdr:y>0.63392</cdr:y>
    </cdr:from>
    <cdr:to>
      <cdr:x>0.32231</cdr:x>
      <cdr:y>0.75909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1557866" y="1993901"/>
          <a:ext cx="423333" cy="3937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0.52714</cdr:x>
      <cdr:y>0.33849</cdr:y>
    </cdr:from>
    <cdr:to>
      <cdr:x>0.5641</cdr:x>
      <cdr:y>0.40095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2438400" y="981075"/>
          <a:ext cx="171450" cy="1809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0.39826</cdr:x>
      <cdr:y>0.68028</cdr:y>
    </cdr:from>
    <cdr:to>
      <cdr:x>0.44065</cdr:x>
      <cdr:y>0.74959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 flipV="1">
          <a:off x="1838325" y="1971675"/>
          <a:ext cx="200025" cy="2000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0.52714</cdr:x>
      <cdr:y>0.33849</cdr:y>
    </cdr:from>
    <cdr:to>
      <cdr:x>0.5641</cdr:x>
      <cdr:y>0.40095</cdr:y>
    </cdr:to>
    <cdr:cxnSp macro="">
      <cdr:nvCxnSpPr>
        <cdr:cNvPr id="2" name="Straight Arrow Connector 2"/>
        <cdr:cNvCxnSpPr/>
      </cdr:nvCxnSpPr>
      <cdr:spPr>
        <a:xfrm xmlns:a="http://schemas.openxmlformats.org/drawingml/2006/main">
          <a:off x="2438400" y="981075"/>
          <a:ext cx="171450" cy="1809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0.39826</cdr:x>
      <cdr:y>0.68028</cdr:y>
    </cdr:from>
    <cdr:to>
      <cdr:x>0.44065</cdr:x>
      <cdr:y>0.74959</cdr:y>
    </cdr:to>
    <cdr:cxnSp macro="">
      <cdr:nvCxnSpPr>
        <cdr:cNvPr id="4" name="Straight Arrow Connector 4"/>
        <cdr:cNvCxnSpPr/>
      </cdr:nvCxnSpPr>
      <cdr:spPr>
        <a:xfrm xmlns:a="http://schemas.openxmlformats.org/drawingml/2006/main" flipH="1" flipV="1">
          <a:off x="1838325" y="1971675"/>
          <a:ext cx="200025" cy="2000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0.40097</cdr:x>
      <cdr:y>0</cdr:y>
    </cdr:from>
    <cdr:to>
      <cdr:x>0.68592</cdr:x>
      <cdr:y>0.15278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2478232" y="0"/>
          <a:ext cx="1761242" cy="483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/>
            <a:t>Hoolehua, Molokai</a:t>
          </a:r>
        </a:p>
      </cdr:txBody>
    </cdr:sp>
  </cdr:relSizeAnchor>
  <cdr:relSizeAnchor xmlns:cdr="http://schemas.openxmlformats.org/drawingml/2006/chartDrawing">
    <cdr:from>
      <cdr:x>0.52714</cdr:x>
      <cdr:y>0.33849</cdr:y>
    </cdr:from>
    <cdr:to>
      <cdr:x>0.5641</cdr:x>
      <cdr:y>0.40095</cdr:y>
    </cdr:to>
    <cdr:cxnSp macro="">
      <cdr:nvCxnSpPr>
        <cdr:cNvPr id="8" name="Straight Arrow Connector 2"/>
        <cdr:cNvCxnSpPr/>
      </cdr:nvCxnSpPr>
      <cdr:spPr>
        <a:xfrm xmlns:a="http://schemas.openxmlformats.org/drawingml/2006/main">
          <a:off x="2438400" y="981075"/>
          <a:ext cx="171450" cy="1809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0.39826</cdr:x>
      <cdr:y>0.68028</cdr:y>
    </cdr:from>
    <cdr:to>
      <cdr:x>0.44065</cdr:x>
      <cdr:y>0.74959</cdr:y>
    </cdr:to>
    <cdr:cxnSp macro="">
      <cdr:nvCxnSpPr>
        <cdr:cNvPr id="9" name="Straight Arrow Connector 4"/>
        <cdr:cNvCxnSpPr/>
      </cdr:nvCxnSpPr>
      <cdr:spPr>
        <a:xfrm xmlns:a="http://schemas.openxmlformats.org/drawingml/2006/main" flipH="1" flipV="1">
          <a:off x="1838325" y="1971675"/>
          <a:ext cx="200025" cy="2000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0.52714</cdr:x>
      <cdr:y>0.33849</cdr:y>
    </cdr:from>
    <cdr:to>
      <cdr:x>0.5641</cdr:x>
      <cdr:y>0.40095</cdr:y>
    </cdr:to>
    <cdr:cxnSp macro="">
      <cdr:nvCxnSpPr>
        <cdr:cNvPr id="11" name="Straight Arrow Connector 2"/>
        <cdr:cNvCxnSpPr/>
      </cdr:nvCxnSpPr>
      <cdr:spPr>
        <a:xfrm xmlns:a="http://schemas.openxmlformats.org/drawingml/2006/main">
          <a:off x="2438400" y="981075"/>
          <a:ext cx="171450" cy="1809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0.39826</cdr:x>
      <cdr:y>0.68028</cdr:y>
    </cdr:from>
    <cdr:to>
      <cdr:x>0.44065</cdr:x>
      <cdr:y>0.74959</cdr:y>
    </cdr:to>
    <cdr:cxnSp macro="">
      <cdr:nvCxnSpPr>
        <cdr:cNvPr id="12" name="Straight Arrow Connector 4"/>
        <cdr:cNvCxnSpPr/>
      </cdr:nvCxnSpPr>
      <cdr:spPr>
        <a:xfrm xmlns:a="http://schemas.openxmlformats.org/drawingml/2006/main" flipH="1" flipV="1">
          <a:off x="1838325" y="1971675"/>
          <a:ext cx="200025" cy="2000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0.34699</cdr:x>
      <cdr:y>0.5463</cdr:y>
    </cdr:from>
    <cdr:to>
      <cdr:x>0.39344</cdr:x>
      <cdr:y>0.62037</cdr:y>
    </cdr:to>
    <cdr:cxnSp macro="">
      <cdr:nvCxnSpPr>
        <cdr:cNvPr id="14" name="Straight Arrow Connector 13"/>
        <cdr:cNvCxnSpPr/>
      </cdr:nvCxnSpPr>
      <cdr:spPr>
        <a:xfrm xmlns:a="http://schemas.openxmlformats.org/drawingml/2006/main">
          <a:off x="1612900" y="1498600"/>
          <a:ext cx="215900" cy="2032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0.38747</cdr:x>
      <cdr:y>0</cdr:y>
    </cdr:from>
    <cdr:to>
      <cdr:x>0.5851</cdr:x>
      <cdr:y>0.0889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8261" y="0"/>
          <a:ext cx="1218152" cy="2769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Poamoho, Oahu</a:t>
          </a:r>
        </a:p>
      </cdr:txBody>
    </cdr:sp>
  </cdr:relSizeAnchor>
  <cdr:relSizeAnchor xmlns:cdr="http://schemas.openxmlformats.org/drawingml/2006/chartDrawing">
    <cdr:from>
      <cdr:x>0.0059</cdr:x>
      <cdr:y>0.18056</cdr:y>
    </cdr:from>
    <cdr:to>
      <cdr:x>0.09165</cdr:x>
      <cdr:y>0.60246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340804" y="864889"/>
          <a:ext cx="1157356" cy="4181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PAN%</a:t>
          </a:r>
        </a:p>
      </cdr:txBody>
    </cdr:sp>
  </cdr:relSizeAnchor>
  <cdr:relSizeAnchor xmlns:cdr="http://schemas.openxmlformats.org/drawingml/2006/chartDrawing">
    <cdr:from>
      <cdr:x>0.43889</cdr:x>
      <cdr:y>0.89845</cdr:y>
    </cdr:from>
    <cdr:to>
      <cdr:x>0.5258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06600" y="2464624"/>
          <a:ext cx="397344" cy="2785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%N</a:t>
          </a:r>
        </a:p>
      </cdr:txBody>
    </cdr:sp>
  </cdr:relSizeAnchor>
  <cdr:relSizeAnchor xmlns:cdr="http://schemas.openxmlformats.org/drawingml/2006/chartDrawing">
    <cdr:from>
      <cdr:x>0.71389</cdr:x>
      <cdr:y>0.47427</cdr:y>
    </cdr:from>
    <cdr:to>
      <cdr:x>0.91135</cdr:x>
      <cdr:y>0.56964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91913" y="1391354"/>
          <a:ext cx="827555" cy="27978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/>
            <a:t>VK</a:t>
          </a:r>
          <a:r>
            <a:rPr lang="en-US" sz="1100" b="0" baseline="0"/>
            <a:t> Equation</a:t>
          </a:r>
          <a:endParaRPr lang="en-US" sz="1100" b="0"/>
        </a:p>
      </cdr:txBody>
    </cdr:sp>
  </cdr:relSizeAnchor>
  <cdr:relSizeAnchor xmlns:cdr="http://schemas.openxmlformats.org/drawingml/2006/chartDrawing">
    <cdr:from>
      <cdr:x>0.26923</cdr:x>
      <cdr:y>0.22826</cdr:y>
    </cdr:from>
    <cdr:to>
      <cdr:x>0.30739</cdr:x>
      <cdr:y>0.30005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1659466" y="711200"/>
          <a:ext cx="235176" cy="22366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0.45604</cdr:x>
      <cdr:y>0.40761</cdr:y>
    </cdr:from>
    <cdr:to>
      <cdr:x>0.48901</cdr:x>
      <cdr:y>0.4837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 flipV="1">
          <a:off x="2810933" y="1270001"/>
          <a:ext cx="203200" cy="23706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3366FF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0.78297</cdr:x>
      <cdr:y>0.42391</cdr:y>
    </cdr:from>
    <cdr:to>
      <cdr:x>0.81867</cdr:x>
      <cdr:y>0.48667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4826000" y="1320800"/>
          <a:ext cx="220076" cy="19554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0.4654</cdr:x>
      <cdr:y>0.01624</cdr:y>
    </cdr:from>
    <cdr:to>
      <cdr:x>0.56365</cdr:x>
      <cdr:y>0.11462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44982" y="50800"/>
          <a:ext cx="600545" cy="3077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Kauai</a:t>
          </a:r>
        </a:p>
      </cdr:txBody>
    </cdr:sp>
  </cdr:relSizeAnchor>
  <cdr:relSizeAnchor xmlns:cdr="http://schemas.openxmlformats.org/drawingml/2006/chartDrawing">
    <cdr:from>
      <cdr:x>0.50278</cdr:x>
      <cdr:y>0.88889</cdr:y>
    </cdr:from>
    <cdr:to>
      <cdr:x>0.59548</cdr:x>
      <cdr:y>0.99044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98700" y="2438400"/>
          <a:ext cx="423842" cy="27857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%N</a:t>
          </a:r>
        </a:p>
      </cdr:txBody>
    </cdr:sp>
  </cdr:relSizeAnchor>
  <cdr:relSizeAnchor xmlns:cdr="http://schemas.openxmlformats.org/drawingml/2006/chartDrawing">
    <cdr:from>
      <cdr:x>1.63588E-7</cdr:x>
      <cdr:y>0.22444</cdr:y>
    </cdr:from>
    <cdr:to>
      <cdr:x>0.06371</cdr:x>
      <cdr:y>0.57629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-355635" y="1057767"/>
          <a:ext cx="1100739" cy="38946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PAN%</a:t>
          </a:r>
        </a:p>
      </cdr:txBody>
    </cdr:sp>
  </cdr:relSizeAnchor>
  <cdr:relSizeAnchor xmlns:cdr="http://schemas.openxmlformats.org/drawingml/2006/chartDrawing">
    <cdr:from>
      <cdr:x>0.64266</cdr:x>
      <cdr:y>0.17321</cdr:y>
    </cdr:from>
    <cdr:to>
      <cdr:x>0.759</cdr:x>
      <cdr:y>0.39919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3928533" y="541866"/>
          <a:ext cx="711201" cy="7069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6600"/>
          </a:solidFill>
          <a:tailEnd type="triangle" w="lg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0.3795</cdr:x>
      <cdr:y>0.47059</cdr:y>
    </cdr:from>
    <cdr:to>
      <cdr:x>0.38132</cdr:x>
      <cdr:y>0.69689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>
          <a:off x="2319868" y="1472205"/>
          <a:ext cx="11131" cy="70796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3366FF"/>
          </a:solidFill>
          <a:tailEnd type="triangle" w="lg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0.80886</cdr:x>
      <cdr:y>0.2111</cdr:y>
    </cdr:from>
    <cdr:to>
      <cdr:x>0.95519</cdr:x>
      <cdr:y>0.29472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944534" y="660400"/>
          <a:ext cx="894477" cy="2616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VK Equation</a:t>
          </a:r>
        </a:p>
      </cdr:txBody>
    </cdr:sp>
  </cdr:relSizeAnchor>
  <cdr:relSizeAnchor xmlns:cdr="http://schemas.openxmlformats.org/drawingml/2006/chartDrawing">
    <cdr:from>
      <cdr:x>0.79224</cdr:x>
      <cdr:y>0.23816</cdr:y>
    </cdr:from>
    <cdr:to>
      <cdr:x>0.80705</cdr:x>
      <cdr:y>0.31965</cdr:y>
    </cdr:to>
    <cdr:cxnSp macro="">
      <cdr:nvCxnSpPr>
        <cdr:cNvPr id="10" name="Straight Connector 9"/>
        <cdr:cNvCxnSpPr/>
      </cdr:nvCxnSpPr>
      <cdr:spPr>
        <a:xfrm xmlns:a="http://schemas.openxmlformats.org/drawingml/2006/main" flipH="1" flipV="1">
          <a:off x="4842934" y="745067"/>
          <a:ext cx="90537" cy="2549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tailEnd type="triangle" w="lg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0.68056</cdr:x>
      <cdr:y>0.39815</cdr:y>
    </cdr:from>
    <cdr:to>
      <cdr:x>0.87241</cdr:x>
      <cdr:y>0.49071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11505" y="1092201"/>
          <a:ext cx="877163" cy="2539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b="1"/>
            <a:t>VK Equation</a:t>
          </a:r>
        </a:p>
      </cdr:txBody>
    </cdr:sp>
  </cdr:relSizeAnchor>
  <cdr:relSizeAnchor xmlns:cdr="http://schemas.openxmlformats.org/drawingml/2006/chartDrawing">
    <cdr:from>
      <cdr:x>0.42984</cdr:x>
      <cdr:y>0.01317</cdr:y>
    </cdr:from>
    <cdr:to>
      <cdr:x>0.6245</cdr:x>
      <cdr:y>0.12537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42158" y="41710"/>
          <a:ext cx="1196536" cy="35528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Mokulele</a:t>
          </a:r>
        </a:p>
      </cdr:txBody>
    </cdr:sp>
  </cdr:relSizeAnchor>
  <cdr:relSizeAnchor xmlns:cdr="http://schemas.openxmlformats.org/drawingml/2006/chartDrawing">
    <cdr:from>
      <cdr:x>0.45556</cdr:x>
      <cdr:y>0.78241</cdr:y>
    </cdr:from>
    <cdr:to>
      <cdr:x>0.54826</cdr:x>
      <cdr:y>0.88396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82800" y="2146300"/>
          <a:ext cx="423842" cy="27857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%N</a:t>
          </a:r>
        </a:p>
      </cdr:txBody>
    </cdr:sp>
  </cdr:relSizeAnchor>
  <cdr:relSizeAnchor xmlns:cdr="http://schemas.openxmlformats.org/drawingml/2006/chartDrawing">
    <cdr:from>
      <cdr:x>0.00556</cdr:x>
      <cdr:y>0.21296</cdr:y>
    </cdr:from>
    <cdr:to>
      <cdr:x>0.06944</cdr:x>
      <cdr:y>0.63486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-407228" y="1016828"/>
          <a:ext cx="1157356" cy="2921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PAN%</a:t>
          </a:r>
        </a:p>
      </cdr:txBody>
    </cdr:sp>
  </cdr:relSizeAnchor>
  <cdr:relSizeAnchor xmlns:cdr="http://schemas.openxmlformats.org/drawingml/2006/chartDrawing">
    <cdr:from>
      <cdr:x>0.57025</cdr:x>
      <cdr:y>0.70588</cdr:y>
    </cdr:from>
    <cdr:to>
      <cdr:x>0.59504</cdr:x>
      <cdr:y>0.75802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H="1" flipV="1">
          <a:off x="3505201" y="2235200"/>
          <a:ext cx="152399" cy="16510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5"/>
          </a:solidFill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0.33131</cdr:x>
      <cdr:y>0.38379</cdr:y>
    </cdr:from>
    <cdr:to>
      <cdr:x>0.45179</cdr:x>
      <cdr:y>0.63503</cdr:y>
    </cdr:to>
    <cdr:cxnSp macro="">
      <cdr:nvCxnSpPr>
        <cdr:cNvPr id="8" name="Straight Arrow Connector 7"/>
        <cdr:cNvCxnSpPr/>
      </cdr:nvCxnSpPr>
      <cdr:spPr>
        <a:xfrm xmlns:a="http://schemas.openxmlformats.org/drawingml/2006/main">
          <a:off x="2036477" y="1215278"/>
          <a:ext cx="740589" cy="79555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F6600"/>
          </a:solidFill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0.81818</cdr:x>
      <cdr:y>0.33021</cdr:y>
    </cdr:from>
    <cdr:to>
      <cdr:x>0.83196</cdr:x>
      <cdr:y>0.4385</cdr:y>
    </cdr:to>
    <cdr:cxnSp macro="">
      <cdr:nvCxnSpPr>
        <cdr:cNvPr id="10" name="Straight Arrow Connector 9"/>
        <cdr:cNvCxnSpPr/>
      </cdr:nvCxnSpPr>
      <cdr:spPr>
        <a:xfrm xmlns:a="http://schemas.openxmlformats.org/drawingml/2006/main" flipH="1" flipV="1">
          <a:off x="5029200" y="1045634"/>
          <a:ext cx="84667" cy="3429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72802</xdr:colOff>
      <xdr:row>0</xdr:row>
      <xdr:rowOff>0</xdr:rowOff>
    </xdr:from>
    <xdr:to>
      <xdr:col>10</xdr:col>
      <xdr:colOff>298436</xdr:colOff>
      <xdr:row>2</xdr:row>
      <xdr:rowOff>27467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4877" y="0"/>
          <a:ext cx="5340559" cy="4084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272826</xdr:colOff>
      <xdr:row>3</xdr:row>
      <xdr:rowOff>9324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" b="9941"/>
        <a:stretch/>
      </xdr:blipFill>
      <xdr:spPr>
        <a:xfrm>
          <a:off x="0" y="9525"/>
          <a:ext cx="853851" cy="9237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1340042</xdr:colOff>
      <xdr:row>0</xdr:row>
      <xdr:rowOff>55217</xdr:rowOff>
    </xdr:from>
    <xdr:to>
      <xdr:col>6</xdr:col>
      <xdr:colOff>109731</xdr:colOff>
      <xdr:row>1</xdr:row>
      <xdr:rowOff>201401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0042" y="55217"/>
          <a:ext cx="5340559" cy="408467"/>
        </a:xfrm>
        <a:prstGeom prst="rect">
          <a:avLst/>
        </a:prstGeom>
      </xdr:spPr>
    </xdr:pic>
    <xdr:clientData/>
  </xdr:twoCellAnchor>
  <xdr:twoCellAnchor editAs="oneCell">
    <xdr:from>
      <xdr:col>0</xdr:col>
      <xdr:colOff>124240</xdr:colOff>
      <xdr:row>0</xdr:row>
      <xdr:rowOff>64742</xdr:rowOff>
    </xdr:from>
    <xdr:to>
      <xdr:col>0</xdr:col>
      <xdr:colOff>978091</xdr:colOff>
      <xdr:row>2</xdr:row>
      <xdr:rowOff>463901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" b="9941"/>
        <a:stretch/>
      </xdr:blipFill>
      <xdr:spPr>
        <a:xfrm>
          <a:off x="124240" y="64742"/>
          <a:ext cx="853851" cy="9237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2044</xdr:colOff>
      <xdr:row>0</xdr:row>
      <xdr:rowOff>0</xdr:rowOff>
    </xdr:from>
    <xdr:to>
      <xdr:col>9</xdr:col>
      <xdr:colOff>236815</xdr:colOff>
      <xdr:row>1</xdr:row>
      <xdr:rowOff>151292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6381" y="0"/>
          <a:ext cx="5337449" cy="403996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</xdr:colOff>
      <xdr:row>0</xdr:row>
      <xdr:rowOff>19244</xdr:rowOff>
    </xdr:from>
    <xdr:to>
      <xdr:col>0</xdr:col>
      <xdr:colOff>921886</xdr:colOff>
      <xdr:row>3</xdr:row>
      <xdr:rowOff>171443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" b="9941"/>
        <a:stretch/>
      </xdr:blipFill>
      <xdr:spPr>
        <a:xfrm>
          <a:off x="68035" y="19244"/>
          <a:ext cx="853851" cy="91031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9525</xdr:rowOff>
    </xdr:from>
    <xdr:to>
      <xdr:col>7</xdr:col>
      <xdr:colOff>0</xdr:colOff>
      <xdr:row>59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24</xdr:row>
      <xdr:rowOff>9525</xdr:rowOff>
    </xdr:from>
    <xdr:to>
      <xdr:col>15</xdr:col>
      <xdr:colOff>9525</xdr:colOff>
      <xdr:row>41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15876</xdr:colOff>
      <xdr:row>42</xdr:row>
      <xdr:rowOff>25400</xdr:rowOff>
    </xdr:from>
    <xdr:to>
      <xdr:col>15</xdr:col>
      <xdr:colOff>12700</xdr:colOff>
      <xdr:row>59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533400</xdr:colOff>
      <xdr:row>10</xdr:row>
      <xdr:rowOff>38100</xdr:rowOff>
    </xdr:from>
    <xdr:to>
      <xdr:col>11</xdr:col>
      <xdr:colOff>657225</xdr:colOff>
      <xdr:row>11</xdr:row>
      <xdr:rowOff>28575</xdr:rowOff>
    </xdr:to>
    <xdr:cxnSp macro="">
      <xdr:nvCxnSpPr>
        <xdr:cNvPr id="8" name="Straight Arrow Connector 7"/>
        <xdr:cNvCxnSpPr/>
      </xdr:nvCxnSpPr>
      <xdr:spPr>
        <a:xfrm>
          <a:off x="8915400" y="1790700"/>
          <a:ext cx="123825" cy="180975"/>
        </a:xfrm>
        <a:prstGeom prst="straightConnector1">
          <a:avLst/>
        </a:prstGeom>
        <a:ln w="12700">
          <a:solidFill>
            <a:schemeClr val="accent1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12700</xdr:colOff>
      <xdr:row>6</xdr:row>
      <xdr:rowOff>0</xdr:rowOff>
    </xdr:from>
    <xdr:to>
      <xdr:col>22</xdr:col>
      <xdr:colOff>749300</xdr:colOff>
      <xdr:row>23</xdr:row>
      <xdr:rowOff>25400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18827</xdr:colOff>
      <xdr:row>0</xdr:row>
      <xdr:rowOff>0</xdr:rowOff>
    </xdr:from>
    <xdr:to>
      <xdr:col>9</xdr:col>
      <xdr:colOff>25386</xdr:colOff>
      <xdr:row>2</xdr:row>
      <xdr:rowOff>27467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42827" y="0"/>
          <a:ext cx="5340559" cy="4084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91851</xdr:colOff>
      <xdr:row>3</xdr:row>
      <xdr:rowOff>142674</xdr:rowOff>
    </xdr:to>
    <xdr:pic>
      <xdr:nvPicPr>
        <xdr:cNvPr id="21" name="Picture 20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1" b="9941"/>
        <a:stretch/>
      </xdr:blipFill>
      <xdr:spPr>
        <a:xfrm>
          <a:off x="0" y="0"/>
          <a:ext cx="853851" cy="923724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0</xdr:colOff>
      <xdr:row>23</xdr:row>
      <xdr:rowOff>169332</xdr:rowOff>
    </xdr:from>
    <xdr:to>
      <xdr:col>7</xdr:col>
      <xdr:colOff>16934</xdr:colOff>
      <xdr:row>41</xdr:row>
      <xdr:rowOff>5709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5</xdr:row>
      <xdr:rowOff>186265</xdr:rowOff>
    </xdr:from>
    <xdr:to>
      <xdr:col>14</xdr:col>
      <xdr:colOff>863600</xdr:colOff>
      <xdr:row>22</xdr:row>
      <xdr:rowOff>152399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0</xdr:colOff>
      <xdr:row>6</xdr:row>
      <xdr:rowOff>0</xdr:rowOff>
    </xdr:from>
    <xdr:to>
      <xdr:col>31</xdr:col>
      <xdr:colOff>16934</xdr:colOff>
      <xdr:row>23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25</xdr:col>
      <xdr:colOff>389467</xdr:colOff>
      <xdr:row>13</xdr:row>
      <xdr:rowOff>118533</xdr:rowOff>
    </xdr:from>
    <xdr:ext cx="894477" cy="261610"/>
    <xdr:sp macro="" textlink="">
      <xdr:nvSpPr>
        <xdr:cNvPr id="2" name="TextBox 1"/>
        <xdr:cNvSpPr txBox="1"/>
      </xdr:nvSpPr>
      <xdr:spPr>
        <a:xfrm>
          <a:off x="22402800" y="2861733"/>
          <a:ext cx="894477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VK Equation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6</xdr:col>
      <xdr:colOff>880532</xdr:colOff>
      <xdr:row>22</xdr:row>
      <xdr:rowOff>135467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9</xdr:col>
      <xdr:colOff>152400</xdr:colOff>
      <xdr:row>15</xdr:row>
      <xdr:rowOff>33867</xdr:rowOff>
    </xdr:from>
    <xdr:ext cx="894477" cy="261610"/>
    <xdr:sp macro="" textlink="">
      <xdr:nvSpPr>
        <xdr:cNvPr id="3" name="TextBox 2"/>
        <xdr:cNvSpPr txBox="1"/>
      </xdr:nvSpPr>
      <xdr:spPr>
        <a:xfrm>
          <a:off x="8077200" y="3149600"/>
          <a:ext cx="894477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VK Equation</a:t>
          </a:r>
        </a:p>
      </xdr:txBody>
    </xdr:sp>
    <xdr:clientData/>
  </xdr:oneCellAnchor>
  <xdr:twoCellAnchor>
    <xdr:from>
      <xdr:col>32</xdr:col>
      <xdr:colOff>16932</xdr:colOff>
      <xdr:row>6</xdr:row>
      <xdr:rowOff>38100</xdr:rowOff>
    </xdr:from>
    <xdr:to>
      <xdr:col>38</xdr:col>
      <xdr:colOff>846666</xdr:colOff>
      <xdr:row>23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60</xdr:row>
      <xdr:rowOff>186266</xdr:rowOff>
    </xdr:from>
    <xdr:to>
      <xdr:col>14</xdr:col>
      <xdr:colOff>863600</xdr:colOff>
      <xdr:row>77</xdr:row>
      <xdr:rowOff>186265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0.01786</cdr:x>
      <cdr:y>0.36984</cdr:y>
    </cdr:from>
    <cdr:to>
      <cdr:x>0.0875</cdr:x>
      <cdr:y>0.6347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271515" y="1909709"/>
          <a:ext cx="1105014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chemeClr val="tx1"/>
              </a:solidFill>
            </a:rPr>
            <a:t>PAN %</a:t>
          </a:r>
        </a:p>
      </cdr:txBody>
    </cdr:sp>
  </cdr:relSizeAnchor>
  <cdr:relSizeAnchor xmlns:cdr="http://schemas.openxmlformats.org/drawingml/2006/chartDrawing">
    <cdr:from>
      <cdr:x>0.48945</cdr:x>
      <cdr:y>0.57561</cdr:y>
    </cdr:from>
    <cdr:to>
      <cdr:x>0.56675</cdr:x>
      <cdr:y>0.63902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10726" y="2401416"/>
          <a:ext cx="412292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 N</a:t>
          </a:r>
        </a:p>
      </cdr:txBody>
    </cdr:sp>
  </cdr:relSizeAnchor>
  <cdr:relSizeAnchor xmlns:cdr="http://schemas.openxmlformats.org/drawingml/2006/chartDrawing">
    <cdr:from>
      <cdr:x>0.40308</cdr:x>
      <cdr:y>0</cdr:y>
    </cdr:from>
    <cdr:to>
      <cdr:x>0.60893</cdr:x>
      <cdr:y>0.09591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50021" y="0"/>
          <a:ext cx="1098004" cy="31151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/>
            <a:t>Kunia, Oahu</a:t>
          </a:r>
        </a:p>
      </cdr:txBody>
    </cdr:sp>
  </cdr:relSizeAnchor>
  <cdr:relSizeAnchor xmlns:cdr="http://schemas.openxmlformats.org/drawingml/2006/chartDrawing">
    <cdr:from>
      <cdr:x>0.67971</cdr:x>
      <cdr:y>0.15334</cdr:y>
    </cdr:from>
    <cdr:to>
      <cdr:x>0.7625</cdr:x>
      <cdr:y>0.28152</cdr:y>
    </cdr:to>
    <cdr:cxnSp macro="">
      <cdr:nvCxnSpPr>
        <cdr:cNvPr id="13" name="Straight Arrow Connector 12"/>
        <cdr:cNvCxnSpPr/>
      </cdr:nvCxnSpPr>
      <cdr:spPr>
        <a:xfrm xmlns:a="http://schemas.openxmlformats.org/drawingml/2006/main">
          <a:off x="3625573" y="498052"/>
          <a:ext cx="441602" cy="41634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accent6">
              <a:lumMod val="75000"/>
            </a:schemeClr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0.425</cdr:x>
      <cdr:y>0.34604</cdr:y>
    </cdr:from>
    <cdr:to>
      <cdr:x>0.45357</cdr:x>
      <cdr:y>0.42365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2266973" y="1123956"/>
          <a:ext cx="152392" cy="252079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0.50057</cdr:x>
      <cdr:y>0.50774</cdr:y>
    </cdr:from>
    <cdr:to>
      <cdr:x>0.50771</cdr:x>
      <cdr:y>0.68369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2670048" y="1649141"/>
          <a:ext cx="38085" cy="57149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accent1">
              <a:lumMod val="75000"/>
            </a:schemeClr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0.41711</cdr:x>
      <cdr:y>0</cdr:y>
    </cdr:from>
    <cdr:to>
      <cdr:x>0.77362</cdr:x>
      <cdr:y>0.09647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28850" y="0"/>
          <a:ext cx="1905000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Alae,</a:t>
          </a:r>
          <a:r>
            <a:rPr lang="en-US" sz="1400" b="1" baseline="0"/>
            <a:t> Maui</a:t>
          </a:r>
          <a:endParaRPr lang="en-US" sz="1400" b="1"/>
        </a:p>
      </cdr:txBody>
    </cdr:sp>
  </cdr:relSizeAnchor>
  <cdr:relSizeAnchor xmlns:cdr="http://schemas.openxmlformats.org/drawingml/2006/chartDrawing">
    <cdr:from>
      <cdr:x>0.43057</cdr:x>
      <cdr:y>0.53182</cdr:y>
    </cdr:from>
    <cdr:to>
      <cdr:x>0.48049</cdr:x>
      <cdr:y>0.64686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 flipV="1">
          <a:off x="2645291" y="1602428"/>
          <a:ext cx="306690" cy="346624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accent1">
              <a:lumMod val="75000"/>
            </a:schemeClr>
          </a:solidFill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0.64596</cdr:x>
      <cdr:y>0.30637</cdr:y>
    </cdr:from>
    <cdr:to>
      <cdr:x>0.68161</cdr:x>
      <cdr:y>0.36831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H="1" flipV="1">
          <a:off x="3968517" y="923116"/>
          <a:ext cx="219020" cy="18662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0.53754</cdr:x>
      <cdr:y>0.22728</cdr:y>
    </cdr:from>
    <cdr:to>
      <cdr:x>0.55793</cdr:x>
      <cdr:y>0.28319</cdr:y>
    </cdr:to>
    <cdr:cxnSp macro="">
      <cdr:nvCxnSpPr>
        <cdr:cNvPr id="8" name="Straight Arrow Connector 7"/>
        <cdr:cNvCxnSpPr/>
      </cdr:nvCxnSpPr>
      <cdr:spPr>
        <a:xfrm xmlns:a="http://schemas.openxmlformats.org/drawingml/2006/main">
          <a:off x="2872358" y="733881"/>
          <a:ext cx="108967" cy="18051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6600"/>
          </a:solidFill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0.0178</cdr:x>
      <cdr:y>0.27353</cdr:y>
    </cdr:from>
    <cdr:to>
      <cdr:x>0.08122</cdr:x>
      <cdr:y>0.57563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46261" y="1084595"/>
          <a:ext cx="913128" cy="397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PAN</a:t>
          </a:r>
          <a:r>
            <a:rPr lang="en-US" sz="1200"/>
            <a:t>  %</a:t>
          </a:r>
        </a:p>
      </cdr:txBody>
    </cdr:sp>
  </cdr:relSizeAnchor>
  <cdr:relSizeAnchor xmlns:cdr="http://schemas.openxmlformats.org/drawingml/2006/chartDrawing">
    <cdr:from>
      <cdr:x>0.42585</cdr:x>
      <cdr:y>0.01721</cdr:y>
    </cdr:from>
    <cdr:to>
      <cdr:x>0.73734</cdr:x>
      <cdr:y>0.11302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270151" y="55952"/>
          <a:ext cx="1660498" cy="3114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Waiakoa,</a:t>
          </a:r>
          <a:r>
            <a:rPr lang="en-US" sz="1400" b="1" baseline="0"/>
            <a:t> Maui</a:t>
          </a:r>
          <a:endParaRPr lang="en-US" sz="1400" b="1"/>
        </a:p>
      </cdr:txBody>
    </cdr:sp>
  </cdr:relSizeAnchor>
  <cdr:relSizeAnchor xmlns:cdr="http://schemas.openxmlformats.org/drawingml/2006/chartDrawing">
    <cdr:from>
      <cdr:x>0.58843</cdr:x>
      <cdr:y>0.41526</cdr:y>
    </cdr:from>
    <cdr:to>
      <cdr:x>0.65472</cdr:x>
      <cdr:y>0.50181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687956" y="1255160"/>
          <a:ext cx="415498" cy="2616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 N</a:t>
          </a:r>
        </a:p>
      </cdr:txBody>
    </cdr:sp>
  </cdr:relSizeAnchor>
  <cdr:relSizeAnchor xmlns:cdr="http://schemas.openxmlformats.org/drawingml/2006/chartDrawing">
    <cdr:from>
      <cdr:x>0.40036</cdr:x>
      <cdr:y>0.22941</cdr:y>
    </cdr:from>
    <cdr:to>
      <cdr:x>0.44124</cdr:x>
      <cdr:y>0.34034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2509236" y="693415"/>
          <a:ext cx="256188" cy="33528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0.39463</cdr:x>
      <cdr:y>0.64286</cdr:y>
    </cdr:from>
    <cdr:to>
      <cdr:x>0.44855</cdr:x>
      <cdr:y>0.74034</cdr:y>
    </cdr:to>
    <cdr:cxnSp macro="">
      <cdr:nvCxnSpPr>
        <cdr:cNvPr id="10" name="Straight Arrow Connector 9"/>
        <cdr:cNvCxnSpPr/>
      </cdr:nvCxnSpPr>
      <cdr:spPr>
        <a:xfrm xmlns:a="http://schemas.openxmlformats.org/drawingml/2006/main" flipH="1" flipV="1">
          <a:off x="2473324" y="1943100"/>
          <a:ext cx="337910" cy="29464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5"/>
          </a:solidFill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0.4598</cdr:x>
      <cdr:y>0.36133</cdr:y>
    </cdr:from>
    <cdr:to>
      <cdr:x>0.55673</cdr:x>
      <cdr:y>0.52521</cdr:y>
    </cdr:to>
    <cdr:cxnSp macro="">
      <cdr:nvCxnSpPr>
        <cdr:cNvPr id="12" name="Straight Arrow Connector 11"/>
        <cdr:cNvCxnSpPr/>
      </cdr:nvCxnSpPr>
      <cdr:spPr>
        <a:xfrm xmlns:a="http://schemas.openxmlformats.org/drawingml/2006/main" flipH="1" flipV="1">
          <a:off x="2451099" y="1174750"/>
          <a:ext cx="516731" cy="53281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F6600"/>
          </a:solidFill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0.38278</cdr:x>
      <cdr:y>0.00386</cdr:y>
    </cdr:from>
    <cdr:to>
      <cdr:x>0.71292</cdr:x>
      <cdr:y>0.10081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32019" y="12403"/>
          <a:ext cx="1752581" cy="3115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Waimea,</a:t>
          </a:r>
          <a:r>
            <a:rPr lang="en-US" sz="1400" b="1" baseline="0"/>
            <a:t> Hawaii</a:t>
          </a:r>
          <a:endParaRPr lang="en-US" sz="1400" b="1"/>
        </a:p>
      </cdr:txBody>
    </cdr:sp>
  </cdr:relSizeAnchor>
  <cdr:relSizeAnchor xmlns:cdr="http://schemas.openxmlformats.org/drawingml/2006/chartDrawing">
    <cdr:from>
      <cdr:x>0.32689</cdr:x>
      <cdr:y>0.66272</cdr:y>
    </cdr:from>
    <cdr:to>
      <cdr:x>0.47331</cdr:x>
      <cdr:y>0.74225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35337" y="2129390"/>
          <a:ext cx="777285" cy="25553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VK Equation</a:t>
          </a:r>
        </a:p>
      </cdr:txBody>
    </cdr:sp>
  </cdr:relSizeAnchor>
  <cdr:relSizeAnchor xmlns:cdr="http://schemas.openxmlformats.org/drawingml/2006/chartDrawing">
    <cdr:from>
      <cdr:x>0.38254</cdr:x>
      <cdr:y>0.32046</cdr:y>
    </cdr:from>
    <cdr:to>
      <cdr:x>0.42495</cdr:x>
      <cdr:y>0.40309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36800" y="1054100"/>
          <a:ext cx="259080" cy="27178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6600"/>
          </a:solidFill>
          <a:tailEnd type="triangle" w="lg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0.39644</cdr:x>
      <cdr:y>0.59701</cdr:y>
    </cdr:from>
    <cdr:to>
      <cdr:x>0.41148</cdr:x>
      <cdr:y>0.67688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 flipV="1">
          <a:off x="2104530" y="1918251"/>
          <a:ext cx="79870" cy="2566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tailEnd type="triangle" w="lg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0.00624</cdr:x>
      <cdr:y>0.28185</cdr:y>
    </cdr:from>
    <cdr:to>
      <cdr:x>0.06643</cdr:x>
      <cdr:y>0.54872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-216956" y="1182156"/>
          <a:ext cx="877810" cy="367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PAN %</a:t>
          </a:r>
        </a:p>
      </cdr:txBody>
    </cdr:sp>
  </cdr:relSizeAnchor>
  <cdr:relSizeAnchor xmlns:cdr="http://schemas.openxmlformats.org/drawingml/2006/chartDrawing">
    <cdr:from>
      <cdr:x>0.45114</cdr:x>
      <cdr:y>0.89961</cdr:y>
    </cdr:from>
    <cdr:to>
      <cdr:x>0.62626</cdr:x>
      <cdr:y>0.97189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5900" y="2959100"/>
          <a:ext cx="1069713" cy="237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% N</a:t>
          </a:r>
        </a:p>
      </cdr:txBody>
    </cdr:sp>
  </cdr:relSizeAnchor>
  <cdr:relSizeAnchor xmlns:cdr="http://schemas.openxmlformats.org/drawingml/2006/chartDrawing">
    <cdr:from>
      <cdr:x>0.71651</cdr:x>
      <cdr:y>0.36858</cdr:y>
    </cdr:from>
    <cdr:to>
      <cdr:x>0.73805</cdr:x>
      <cdr:y>0.60169</cdr:y>
    </cdr:to>
    <cdr:cxnSp macro="">
      <cdr:nvCxnSpPr>
        <cdr:cNvPr id="9" name="Straight Connector 8"/>
        <cdr:cNvCxnSpPr/>
      </cdr:nvCxnSpPr>
      <cdr:spPr>
        <a:xfrm xmlns:a="http://schemas.openxmlformats.org/drawingml/2006/main" flipH="1" flipV="1">
          <a:off x="3803650" y="1184275"/>
          <a:ext cx="114362" cy="74901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3366FF"/>
          </a:solidFill>
          <a:tailEnd type="triangle" w="lg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lby/Library/Application%20Support/Microsoft/Office/Office%202011%20AutoRecovery/Graphs_PAN_N%20with%20po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lby/Library/Application%20Support/Microsoft/Office/Office%202011%20AutoRecovery/Molokai/molokai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_PAN_N%20with%20poa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lby/Desktop/Graphs_PAN_N%20with%20poa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la"/>
      <sheetName val="Saipan"/>
      <sheetName val="Molokai"/>
      <sheetName val="Waimanalo"/>
      <sheetName val="Alae"/>
      <sheetName val="Waiakoa"/>
      <sheetName val="Kunia"/>
      <sheetName val="Poamoho"/>
      <sheetName val="Waimea"/>
      <sheetName val="Nitrate ADSC Readings"/>
    </sheetNames>
    <sheetDataSet>
      <sheetData sheetId="0">
        <row r="4">
          <cell r="Q4">
            <v>1.62</v>
          </cell>
          <cell r="R4">
            <v>1</v>
          </cell>
          <cell r="S4">
            <v>16.105436897354789</v>
          </cell>
          <cell r="T4">
            <v>14.903181664303588</v>
          </cell>
        </row>
        <row r="5">
          <cell r="Q5">
            <v>1.62</v>
          </cell>
          <cell r="R5">
            <v>2</v>
          </cell>
          <cell r="S5">
            <v>3.8713193079431418</v>
          </cell>
          <cell r="T5">
            <v>14.903181664303588</v>
          </cell>
        </row>
        <row r="6">
          <cell r="Q6">
            <v>4.7544000000000004</v>
          </cell>
          <cell r="R6">
            <v>49</v>
          </cell>
          <cell r="S6">
            <v>28.635543855026118</v>
          </cell>
          <cell r="T6">
            <v>63.640763140662884</v>
          </cell>
        </row>
        <row r="7">
          <cell r="Q7">
            <v>4.7544000000000004</v>
          </cell>
          <cell r="R7">
            <v>51</v>
          </cell>
          <cell r="S7">
            <v>51.474616562577637</v>
          </cell>
          <cell r="T7">
            <v>63.640763140662884</v>
          </cell>
        </row>
        <row r="8">
          <cell r="Q8">
            <v>4.7544000000000004</v>
          </cell>
          <cell r="R8">
            <v>44</v>
          </cell>
          <cell r="S8">
            <v>35.090526759158166</v>
          </cell>
          <cell r="T8">
            <v>63.640763140662884</v>
          </cell>
        </row>
        <row r="9">
          <cell r="Q9">
            <v>3.8267000000000002</v>
          </cell>
          <cell r="R9">
            <v>64</v>
          </cell>
          <cell r="S9">
            <v>77.393424745872096</v>
          </cell>
          <cell r="T9">
            <v>51.59883446992356</v>
          </cell>
        </row>
        <row r="10">
          <cell r="Q10">
            <v>3.8267000000000002</v>
          </cell>
          <cell r="R10">
            <v>85</v>
          </cell>
          <cell r="S10">
            <v>102.51882242858512</v>
          </cell>
          <cell r="T10">
            <v>51.59883446992356</v>
          </cell>
        </row>
        <row r="11">
          <cell r="Q11">
            <v>3.8267000000000002</v>
          </cell>
          <cell r="R11">
            <v>88</v>
          </cell>
          <cell r="S11">
            <v>74.475892763022884</v>
          </cell>
          <cell r="T11">
            <v>51.59883446992356</v>
          </cell>
        </row>
        <row r="12">
          <cell r="Q12">
            <v>1.0283</v>
          </cell>
          <cell r="R12">
            <v>-9</v>
          </cell>
          <cell r="S12">
            <v>-8.1325966784207306</v>
          </cell>
          <cell r="T12">
            <v>1.009964859492797</v>
          </cell>
        </row>
        <row r="13">
          <cell r="Q13">
            <v>2.3666999999999998</v>
          </cell>
          <cell r="R13">
            <v>68</v>
          </cell>
          <cell r="S13">
            <v>65.441403799849979</v>
          </cell>
          <cell r="T13">
            <v>29.165562202553886</v>
          </cell>
        </row>
        <row r="14">
          <cell r="Q14">
            <v>3.2364999999999999</v>
          </cell>
          <cell r="R14">
            <v>64</v>
          </cell>
          <cell r="S14">
            <v>85.359101663892417</v>
          </cell>
          <cell r="T14">
            <v>43.159636365775214</v>
          </cell>
        </row>
        <row r="15">
          <cell r="Q15">
            <v>3.2364999999999999</v>
          </cell>
          <cell r="R15">
            <v>41</v>
          </cell>
          <cell r="S15">
            <v>88.441488055512053</v>
          </cell>
          <cell r="T15">
            <v>43.159636365775214</v>
          </cell>
        </row>
        <row r="16">
          <cell r="Q16">
            <v>3.2364999999999999</v>
          </cell>
          <cell r="R16">
            <v>68</v>
          </cell>
          <cell r="S16">
            <v>85.359101663892417</v>
          </cell>
          <cell r="T16">
            <v>43.159636365775214</v>
          </cell>
        </row>
        <row r="17">
          <cell r="Q17">
            <v>4.2758000000000003</v>
          </cell>
          <cell r="R17">
            <v>92</v>
          </cell>
          <cell r="S17">
            <v>73.865872988076759</v>
          </cell>
          <cell r="T17">
            <v>57.591543550470391</v>
          </cell>
        </row>
        <row r="18">
          <cell r="Q18">
            <v>4.2758000000000003</v>
          </cell>
          <cell r="R18">
            <v>69</v>
          </cell>
          <cell r="S18">
            <v>94.19931100472337</v>
          </cell>
          <cell r="T18">
            <v>57.591543550470391</v>
          </cell>
        </row>
      </sheetData>
      <sheetData sheetId="1"/>
      <sheetData sheetId="2"/>
      <sheetData sheetId="3">
        <row r="5">
          <cell r="O5">
            <v>3.0668000000000002</v>
          </cell>
          <cell r="P5">
            <v>16.736228859614798</v>
          </cell>
          <cell r="Q5">
            <v>27.172731620364328</v>
          </cell>
          <cell r="R5">
            <v>40.593026257799451</v>
          </cell>
        </row>
        <row r="6">
          <cell r="O6">
            <v>3.0668000000000002</v>
          </cell>
          <cell r="P6">
            <v>26.730359549584797</v>
          </cell>
          <cell r="Q6">
            <v>6.5975392374244644</v>
          </cell>
          <cell r="R6">
            <v>40.593026257799451</v>
          </cell>
        </row>
        <row r="7">
          <cell r="O7">
            <v>2.017966667</v>
          </cell>
          <cell r="P7">
            <v>-9.0107203605922415</v>
          </cell>
          <cell r="Q7">
            <v>6.210872329207473</v>
          </cell>
          <cell r="R7">
            <v>22.837189028969007</v>
          </cell>
        </row>
        <row r="8">
          <cell r="O8">
            <v>2.017966667</v>
          </cell>
          <cell r="P8">
            <v>-27.004080010075498</v>
          </cell>
          <cell r="Q8">
            <v>1.4040535850601907</v>
          </cell>
          <cell r="R8">
            <v>22.837189028969007</v>
          </cell>
        </row>
        <row r="9">
          <cell r="O9">
            <v>2.017966667</v>
          </cell>
          <cell r="P9">
            <v>-15.9979517309506</v>
          </cell>
          <cell r="Q9">
            <v>7.449743139554708</v>
          </cell>
          <cell r="R9">
            <v>22.837189028969007</v>
          </cell>
        </row>
        <row r="10">
          <cell r="O10">
            <v>2.9578666669999998</v>
          </cell>
          <cell r="P10">
            <v>109.58122970276101</v>
          </cell>
          <cell r="Q10">
            <v>61.474486109191929</v>
          </cell>
          <cell r="R10">
            <v>38.90789118199217</v>
          </cell>
        </row>
        <row r="11">
          <cell r="O11">
            <v>2.9578666669999998</v>
          </cell>
          <cell r="P11">
            <v>23.377208796500103</v>
          </cell>
          <cell r="Q11">
            <v>80.102776767027734</v>
          </cell>
          <cell r="R11">
            <v>38.90789118199217</v>
          </cell>
        </row>
        <row r="12">
          <cell r="O12">
            <v>2.9578666669999998</v>
          </cell>
          <cell r="P12">
            <v>60.961729167309599</v>
          </cell>
          <cell r="Q12">
            <v>61.474486109191929</v>
          </cell>
          <cell r="R12">
            <v>38.90789118199217</v>
          </cell>
        </row>
        <row r="13">
          <cell r="O13">
            <v>2.4334666669999998</v>
          </cell>
          <cell r="P13">
            <v>87.100706798654798</v>
          </cell>
          <cell r="Q13">
            <v>82.324256193862766</v>
          </cell>
          <cell r="R13">
            <v>30.322645780568962</v>
          </cell>
        </row>
        <row r="14">
          <cell r="O14">
            <v>2.4334666669999998</v>
          </cell>
          <cell r="P14">
            <v>57.887239047464902</v>
          </cell>
          <cell r="Q14">
            <v>94.857815997088153</v>
          </cell>
          <cell r="R14">
            <v>30.322645780568962</v>
          </cell>
        </row>
        <row r="15">
          <cell r="O15">
            <v>2.3578666670000001</v>
          </cell>
          <cell r="P15">
            <v>20.1693621324122</v>
          </cell>
          <cell r="Q15">
            <v>77.117733533544751</v>
          </cell>
          <cell r="R15">
            <v>29.01126200223419</v>
          </cell>
        </row>
        <row r="16">
          <cell r="O16">
            <v>1.07369</v>
          </cell>
          <cell r="P16">
            <v>-16.935366198188799</v>
          </cell>
          <cell r="Q16">
            <v>-16.547296395297227</v>
          </cell>
          <cell r="R16">
            <v>2.1987212538174745</v>
          </cell>
        </row>
        <row r="17">
          <cell r="O17">
            <v>1.07369</v>
          </cell>
          <cell r="P17">
            <v>-11.9059815527139</v>
          </cell>
          <cell r="Q17">
            <v>-15.615928868357395</v>
          </cell>
          <cell r="R17">
            <v>2.1987212538174745</v>
          </cell>
        </row>
        <row r="18">
          <cell r="O18">
            <v>1.07369</v>
          </cell>
          <cell r="P18">
            <v>-41.253372326587204</v>
          </cell>
          <cell r="Q18">
            <v>-19.341398976116643</v>
          </cell>
          <cell r="R18">
            <v>2.1987212538174745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wks moisture"/>
      <sheetName val="NO3 4 wks"/>
      <sheetName val="NO3 calibration 4 wks"/>
      <sheetName val="10 wks moisture"/>
      <sheetName val="NO3 10 wks"/>
      <sheetName val="NO3 calibration 10 wks"/>
      <sheetName val="Graphs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V28">
            <v>4.75</v>
          </cell>
          <cell r="W28">
            <v>29.773336624750176</v>
          </cell>
          <cell r="X28">
            <v>26.109415484576814</v>
          </cell>
          <cell r="Y28">
            <v>63.586573905245984</v>
          </cell>
        </row>
        <row r="29">
          <cell r="V29">
            <v>4.75</v>
          </cell>
          <cell r="W29">
            <v>61.585144768489819</v>
          </cell>
          <cell r="X29">
            <v>52.648241536350568</v>
          </cell>
          <cell r="Y29">
            <v>63.586573905245984</v>
          </cell>
        </row>
        <row r="30">
          <cell r="V30">
            <v>4.75</v>
          </cell>
          <cell r="W30">
            <v>31.130505534406328</v>
          </cell>
          <cell r="X30">
            <v>29.07402617065717</v>
          </cell>
          <cell r="Y30">
            <v>63.586573905245984</v>
          </cell>
        </row>
        <row r="31">
          <cell r="V31">
            <v>2.12</v>
          </cell>
          <cell r="W31">
            <v>56.490256076657921</v>
          </cell>
          <cell r="X31">
            <v>44.712353228510288</v>
          </cell>
          <cell r="Y31">
            <v>24.741791230439347</v>
          </cell>
        </row>
        <row r="32">
          <cell r="V32">
            <v>1.03</v>
          </cell>
          <cell r="W32">
            <v>22.445689399601115</v>
          </cell>
          <cell r="X32">
            <v>-22.267646598216079</v>
          </cell>
          <cell r="Y32">
            <v>1.0549549958526043</v>
          </cell>
        </row>
        <row r="33">
          <cell r="V33">
            <v>1.03</v>
          </cell>
          <cell r="W33">
            <v>18.064516820345609</v>
          </cell>
          <cell r="X33">
            <v>-36.146960808483378</v>
          </cell>
          <cell r="Y33">
            <v>1.0549549958526043</v>
          </cell>
        </row>
        <row r="34">
          <cell r="V34">
            <v>1.03</v>
          </cell>
          <cell r="W34">
            <v>-6.4014769013424395</v>
          </cell>
          <cell r="X34">
            <v>-35.154975122146055</v>
          </cell>
          <cell r="Y34">
            <v>1.0549549958526043</v>
          </cell>
        </row>
        <row r="35">
          <cell r="V35">
            <v>3.83</v>
          </cell>
          <cell r="W35">
            <v>69.855116461445533</v>
          </cell>
          <cell r="X35">
            <v>60.357131804998929</v>
          </cell>
          <cell r="Y35">
            <v>51.644115450433318</v>
          </cell>
        </row>
        <row r="36">
          <cell r="V36">
            <v>3.83</v>
          </cell>
          <cell r="W36">
            <v>83.45250282465247</v>
          </cell>
          <cell r="X36">
            <v>72.81382934155981</v>
          </cell>
          <cell r="Y36">
            <v>51.644115450433318</v>
          </cell>
        </row>
        <row r="37">
          <cell r="V37">
            <v>3.83</v>
          </cell>
          <cell r="W37">
            <v>88.92523959447918</v>
          </cell>
          <cell r="X37">
            <v>86.500981918363578</v>
          </cell>
          <cell r="Y37">
            <v>51.644115450433318</v>
          </cell>
        </row>
        <row r="38">
          <cell r="V38">
            <v>4.62</v>
          </cell>
          <cell r="W38">
            <v>98.767638216003178</v>
          </cell>
          <cell r="X38">
            <v>74.483925119951138</v>
          </cell>
          <cell r="Y38">
            <v>61.974048018427993</v>
          </cell>
        </row>
        <row r="39">
          <cell r="V39">
            <v>4.62</v>
          </cell>
          <cell r="W39">
            <v>74.354128029222068</v>
          </cell>
          <cell r="X39">
            <v>51.976219993402594</v>
          </cell>
          <cell r="Y39">
            <v>61.974048018427993</v>
          </cell>
        </row>
        <row r="40">
          <cell r="V40">
            <v>4.62</v>
          </cell>
          <cell r="W40">
            <v>79.947833655713779</v>
          </cell>
          <cell r="X40">
            <v>68.931938546633233</v>
          </cell>
          <cell r="Y40">
            <v>61.974048018427993</v>
          </cell>
        </row>
        <row r="41">
          <cell r="V41">
            <v>3.24</v>
          </cell>
          <cell r="W41">
            <v>56.306908960984181</v>
          </cell>
          <cell r="X41">
            <v>50.989634470777368</v>
          </cell>
          <cell r="Y41">
            <v>43.211854405386362</v>
          </cell>
        </row>
        <row r="42">
          <cell r="V42">
            <v>3.24</v>
          </cell>
          <cell r="W42">
            <v>30.975564286503165</v>
          </cell>
          <cell r="X42">
            <v>49.442065515075079</v>
          </cell>
          <cell r="Y42">
            <v>43.211854405386362</v>
          </cell>
        </row>
        <row r="43">
          <cell r="V43">
            <v>3.24</v>
          </cell>
          <cell r="W43">
            <v>54.873896569266535</v>
          </cell>
          <cell r="X43">
            <v>59.950920384269899</v>
          </cell>
          <cell r="Y43">
            <v>43.211854405386362</v>
          </cell>
        </row>
        <row r="44">
          <cell r="V44">
            <v>3.94</v>
          </cell>
          <cell r="W44">
            <v>74.99151263485966</v>
          </cell>
          <cell r="X44">
            <v>110.986174627886</v>
          </cell>
          <cell r="Y44">
            <v>53.142473981419656</v>
          </cell>
        </row>
        <row r="45">
          <cell r="V45">
            <v>3.94</v>
          </cell>
          <cell r="W45">
            <v>54.251712294655754</v>
          </cell>
          <cell r="X45">
            <v>62.209604664366715</v>
          </cell>
          <cell r="Y45">
            <v>53.142473981419656</v>
          </cell>
        </row>
        <row r="46">
          <cell r="V46">
            <v>3.94</v>
          </cell>
          <cell r="W46">
            <v>46.461547231857438</v>
          </cell>
          <cell r="X46">
            <v>48.792180541427385</v>
          </cell>
          <cell r="Y46">
            <v>53.142473981419656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la"/>
      <sheetName val="Saipan"/>
      <sheetName val="Molokai"/>
      <sheetName val="Waimanalo"/>
      <sheetName val="Alae"/>
      <sheetName val="Waiakoa"/>
      <sheetName val="Kunia"/>
      <sheetName val="Poamoho"/>
      <sheetName val="Waimea"/>
      <sheetName val="Kauai"/>
      <sheetName val="Piilani"/>
      <sheetName val="Mokule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Q4">
            <v>2.62</v>
          </cell>
          <cell r="R4">
            <v>61.668613410918596</v>
          </cell>
          <cell r="S4">
            <v>73.269639696140899</v>
          </cell>
          <cell r="T4">
            <v>33.473718594937594</v>
          </cell>
        </row>
        <row r="5">
          <cell r="Q5">
            <v>2.0299999999999998</v>
          </cell>
          <cell r="R5">
            <v>62.366672280465394</v>
          </cell>
          <cell r="S5">
            <v>70.449665277251512</v>
          </cell>
          <cell r="T5">
            <v>23.064275174659358</v>
          </cell>
        </row>
        <row r="6">
          <cell r="Q6">
            <v>2.97</v>
          </cell>
          <cell r="R6">
            <v>64.836325073394036</v>
          </cell>
          <cell r="S6">
            <v>75.838433597054276</v>
          </cell>
          <cell r="T6">
            <v>39.097105422635735</v>
          </cell>
        </row>
        <row r="7">
          <cell r="Q7">
            <v>3.86</v>
          </cell>
          <cell r="R7">
            <v>66.089318145398252</v>
          </cell>
          <cell r="S7">
            <v>81.137492655306914</v>
          </cell>
          <cell r="T7">
            <v>52.054869259125596</v>
          </cell>
        </row>
        <row r="8">
          <cell r="Q8">
            <v>1.86</v>
          </cell>
          <cell r="R8">
            <v>56.339899871238806</v>
          </cell>
          <cell r="S8">
            <v>65.750796286256431</v>
          </cell>
          <cell r="T8">
            <v>19.790863985071226</v>
          </cell>
        </row>
        <row r="9">
          <cell r="Q9">
            <v>3.28</v>
          </cell>
          <cell r="R9">
            <v>67.934410093876124</v>
          </cell>
          <cell r="S9">
            <v>79.886548078610275</v>
          </cell>
          <cell r="T9">
            <v>43.806640661772988</v>
          </cell>
        </row>
        <row r="10">
          <cell r="Q10">
            <v>2.82</v>
          </cell>
          <cell r="R10">
            <v>60.532106229909687</v>
          </cell>
          <cell r="S10">
            <v>75.25256390632174</v>
          </cell>
          <cell r="T10">
            <v>36.73003537761312</v>
          </cell>
        </row>
        <row r="11">
          <cell r="Q11">
            <v>3.06</v>
          </cell>
          <cell r="R11">
            <v>66.071758462969328</v>
          </cell>
          <cell r="S11">
            <v>80.011211762157743</v>
          </cell>
          <cell r="T11">
            <v>40.48871893089995</v>
          </cell>
        </row>
        <row r="12">
          <cell r="Q12">
            <v>3.52</v>
          </cell>
          <cell r="R12">
            <v>66.656872234513258</v>
          </cell>
          <cell r="S12">
            <v>83.068307522123902</v>
          </cell>
          <cell r="T12">
            <v>47.3016402487075</v>
          </cell>
        </row>
        <row r="13">
          <cell r="Q13">
            <v>3.23</v>
          </cell>
          <cell r="R13">
            <v>64.31832995096805</v>
          </cell>
          <cell r="S13">
            <v>80.839764765135442</v>
          </cell>
          <cell r="T13">
            <v>43.062585043096135</v>
          </cell>
        </row>
        <row r="14">
          <cell r="Q14">
            <v>3.51</v>
          </cell>
          <cell r="R14">
            <v>65.605696805428721</v>
          </cell>
          <cell r="S14">
            <v>81.501831501831504</v>
          </cell>
          <cell r="T14">
            <v>47.158439550521848</v>
          </cell>
        </row>
        <row r="15">
          <cell r="Q15">
            <v>3.61</v>
          </cell>
          <cell r="R15">
            <v>67.959877939764496</v>
          </cell>
          <cell r="S15">
            <v>81.362638090298077</v>
          </cell>
          <cell r="T15">
            <v>48.581401872352259</v>
          </cell>
        </row>
        <row r="16">
          <cell r="Q16">
            <v>1.66</v>
          </cell>
          <cell r="R16">
            <v>59.89765474333575</v>
          </cell>
          <cell r="S16">
            <v>68.307722022410758</v>
          </cell>
          <cell r="T16">
            <v>15.741779682225584</v>
          </cell>
        </row>
        <row r="17">
          <cell r="Q17">
            <v>1.97</v>
          </cell>
          <cell r="R17">
            <v>56.199363606811545</v>
          </cell>
          <cell r="S17">
            <v>67.080434006742436</v>
          </cell>
          <cell r="T17">
            <v>21.925190107900619</v>
          </cell>
        </row>
        <row r="18">
          <cell r="Q18">
            <v>2.97</v>
          </cell>
          <cell r="R18">
            <v>51.516376233466289</v>
          </cell>
          <cell r="S18">
            <v>69.542305269787946</v>
          </cell>
          <cell r="T18">
            <v>39.097105422635735</v>
          </cell>
        </row>
        <row r="19">
          <cell r="Q19">
            <v>1.08</v>
          </cell>
          <cell r="R19">
            <v>53.344399411273649</v>
          </cell>
          <cell r="S19">
            <v>66.333311365932929</v>
          </cell>
          <cell r="T19">
            <v>2.3619741586263316</v>
          </cell>
        </row>
        <row r="20">
          <cell r="Q20">
            <v>5.46</v>
          </cell>
          <cell r="R20">
            <v>78.889860139860119</v>
          </cell>
          <cell r="S20">
            <v>87.787212787212781</v>
          </cell>
          <cell r="T20">
            <v>72.028298147380653</v>
          </cell>
        </row>
        <row r="21">
          <cell r="Q21">
            <v>4.42</v>
          </cell>
          <cell r="R21">
            <v>70.026159502262459</v>
          </cell>
          <cell r="S21">
            <v>83.730203619909503</v>
          </cell>
          <cell r="T21">
            <v>59.448270781334955</v>
          </cell>
        </row>
        <row r="22">
          <cell r="Q22">
            <v>3.58</v>
          </cell>
          <cell r="R22">
            <v>63.471047863505945</v>
          </cell>
          <cell r="S22">
            <v>81.647289747848404</v>
          </cell>
          <cell r="T22">
            <v>48.15660584881762</v>
          </cell>
        </row>
        <row r="23">
          <cell r="Q23">
            <v>4.25</v>
          </cell>
          <cell r="R23">
            <v>69.684088588706501</v>
          </cell>
          <cell r="S23">
            <v>83.582030943218399</v>
          </cell>
          <cell r="T23">
            <v>57.256056840340989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ula"/>
      <sheetName val="Saipan"/>
      <sheetName val="Molokai"/>
      <sheetName val="Waimanalo"/>
      <sheetName val="Alae"/>
      <sheetName val="Waiakoa"/>
      <sheetName val="Kunia"/>
      <sheetName val="Poamoho"/>
      <sheetName val="Waimea"/>
      <sheetName val="Kauai"/>
      <sheetName val="Piilani"/>
      <sheetName val="Mokule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>
            <v>1.18</v>
          </cell>
          <cell r="D4">
            <v>-5.8757062146892656</v>
          </cell>
          <cell r="E4">
            <v>-11.902542372881356</v>
          </cell>
          <cell r="F4">
            <v>4.8882154707308061</v>
          </cell>
        </row>
        <row r="5">
          <cell r="C5">
            <v>1.18</v>
          </cell>
          <cell r="D5">
            <v>-5.8757062146892656</v>
          </cell>
          <cell r="E5">
            <v>-2.6822033898305078</v>
          </cell>
          <cell r="F5">
            <v>4.8882154707308061</v>
          </cell>
        </row>
        <row r="6">
          <cell r="C6">
            <v>1.18</v>
          </cell>
          <cell r="D6">
            <v>-4.8587570621468936</v>
          </cell>
          <cell r="E6">
            <v>-7.7245762711864367</v>
          </cell>
          <cell r="F6">
            <v>4.8882154707308061</v>
          </cell>
        </row>
        <row r="7">
          <cell r="C7">
            <v>3.99</v>
          </cell>
          <cell r="D7">
            <v>9.2898913951545516</v>
          </cell>
          <cell r="E7">
            <v>13.901002506265664</v>
          </cell>
          <cell r="F7">
            <v>53.816626648426734</v>
          </cell>
        </row>
        <row r="8">
          <cell r="C8">
            <v>3.99</v>
          </cell>
          <cell r="D8">
            <v>11.470342522974102</v>
          </cell>
          <cell r="E8">
            <v>19.918546365914786</v>
          </cell>
          <cell r="F8">
            <v>53.816626648426734</v>
          </cell>
        </row>
        <row r="9">
          <cell r="C9">
            <v>3.99</v>
          </cell>
          <cell r="D9">
            <v>10.01670843776107</v>
          </cell>
          <cell r="E9">
            <v>21.389724310776941</v>
          </cell>
          <cell r="F9">
            <v>53.816626648426734</v>
          </cell>
        </row>
        <row r="10">
          <cell r="C10">
            <v>2.95</v>
          </cell>
          <cell r="D10">
            <v>10.158192090395479</v>
          </cell>
          <cell r="E10">
            <v>17.977966101694911</v>
          </cell>
          <cell r="F10">
            <v>38.785006370289835</v>
          </cell>
        </row>
        <row r="11">
          <cell r="C11">
            <v>2.95</v>
          </cell>
          <cell r="D11">
            <v>11.581920903954805</v>
          </cell>
          <cell r="E11">
            <v>25.506779661016949</v>
          </cell>
          <cell r="F11">
            <v>38.785006370289835</v>
          </cell>
        </row>
        <row r="12">
          <cell r="C12">
            <v>2.95</v>
          </cell>
          <cell r="D12">
            <v>14.53107344632768</v>
          </cell>
          <cell r="E12">
            <v>27.927118644067793</v>
          </cell>
          <cell r="F12">
            <v>38.785006370289835</v>
          </cell>
        </row>
        <row r="13">
          <cell r="C13">
            <v>0.55000000000000004</v>
          </cell>
          <cell r="D13">
            <v>-10.424242424242426</v>
          </cell>
          <cell r="E13">
            <v>3.7727272727272778</v>
          </cell>
          <cell r="F13">
            <v>-13.618370199099076</v>
          </cell>
        </row>
        <row r="14">
          <cell r="C14">
            <v>0.55000000000000004</v>
          </cell>
          <cell r="D14">
            <v>-5.8787878787878798</v>
          </cell>
          <cell r="E14">
            <v>32.718181818181804</v>
          </cell>
          <cell r="F14">
            <v>-13.618370199099076</v>
          </cell>
        </row>
        <row r="15">
          <cell r="C15">
            <v>0.55000000000000004</v>
          </cell>
          <cell r="D15">
            <v>-5.8787878787878798</v>
          </cell>
          <cell r="E15">
            <v>20.481818181818166</v>
          </cell>
          <cell r="F15">
            <v>-13.618370199099076</v>
          </cell>
        </row>
        <row r="16">
          <cell r="C16">
            <v>3.81</v>
          </cell>
          <cell r="D16">
            <v>13.167104111985999</v>
          </cell>
          <cell r="E16">
            <v>22.006561679790025</v>
          </cell>
          <cell r="F16">
            <v>51.369385266778465</v>
          </cell>
        </row>
        <row r="17">
          <cell r="C17">
            <v>3.81</v>
          </cell>
          <cell r="D17">
            <v>26.290463692038497</v>
          </cell>
          <cell r="E17">
            <v>29.623359580052487</v>
          </cell>
          <cell r="F17">
            <v>51.369385266778465</v>
          </cell>
        </row>
        <row r="18">
          <cell r="C18">
            <v>3.81</v>
          </cell>
          <cell r="D18">
            <v>19.702537182852144</v>
          </cell>
          <cell r="E18">
            <v>35.578740157480311</v>
          </cell>
          <cell r="F18">
            <v>51.369385266778465</v>
          </cell>
        </row>
        <row r="19">
          <cell r="C19">
            <v>5.04</v>
          </cell>
          <cell r="D19">
            <v>20.925925925925924</v>
          </cell>
          <cell r="E19">
            <v>35.635912698412696</v>
          </cell>
          <cell r="F19">
            <v>67.106041660437782</v>
          </cell>
        </row>
        <row r="20">
          <cell r="C20">
            <v>5.04</v>
          </cell>
          <cell r="D20">
            <v>23.445767195767196</v>
          </cell>
          <cell r="E20">
            <v>35.635912698412696</v>
          </cell>
          <cell r="F20">
            <v>67.106041660437782</v>
          </cell>
        </row>
        <row r="21">
          <cell r="C21">
            <v>5.04</v>
          </cell>
          <cell r="D21">
            <v>27.612433862433868</v>
          </cell>
          <cell r="E21">
            <v>40.161706349206348</v>
          </cell>
          <cell r="F21">
            <v>67.106041660437782</v>
          </cell>
        </row>
      </sheetData>
      <sheetData sheetId="10"/>
      <sheetData sheetId="11">
        <row r="6">
          <cell r="C6">
            <v>1.18</v>
          </cell>
          <cell r="D6">
            <v>-7.73870056497175</v>
          </cell>
          <cell r="E6">
            <v>-13.644067796610171</v>
          </cell>
          <cell r="F6">
            <v>4.8882154707308061</v>
          </cell>
        </row>
        <row r="7">
          <cell r="C7">
            <v>1.18</v>
          </cell>
          <cell r="D7">
            <v>-12.67090395480226</v>
          </cell>
          <cell r="E7">
            <v>-12.262711864406779</v>
          </cell>
          <cell r="F7">
            <v>4.8882154707308061</v>
          </cell>
        </row>
        <row r="8">
          <cell r="C8">
            <v>1.18</v>
          </cell>
          <cell r="D8">
            <v>-15.560734463276834</v>
          </cell>
          <cell r="E8">
            <v>-8.7288135593220346</v>
          </cell>
          <cell r="F8">
            <v>4.8882154707308061</v>
          </cell>
        </row>
        <row r="9">
          <cell r="C9">
            <v>3.99</v>
          </cell>
          <cell r="D9">
            <v>-3.1608187134502925</v>
          </cell>
          <cell r="E9">
            <v>8.5087719298245617</v>
          </cell>
          <cell r="F9">
            <v>53.816626648426734</v>
          </cell>
        </row>
        <row r="10">
          <cell r="C10">
            <v>3.99</v>
          </cell>
          <cell r="D10">
            <v>-0.79741019214703301</v>
          </cell>
          <cell r="E10">
            <v>13.551378446115287</v>
          </cell>
          <cell r="F10">
            <v>53.816626648426734</v>
          </cell>
        </row>
        <row r="11">
          <cell r="C11">
            <v>3.99</v>
          </cell>
          <cell r="D11">
            <v>-2.3613199665831237</v>
          </cell>
          <cell r="E11">
            <v>6.6917293233082722</v>
          </cell>
          <cell r="F11">
            <v>53.816626648426734</v>
          </cell>
        </row>
        <row r="12">
          <cell r="C12">
            <v>0.55000000000000004</v>
          </cell>
          <cell r="D12">
            <v>-28.366666666666664</v>
          </cell>
          <cell r="E12">
            <v>-12.563636363636363</v>
          </cell>
          <cell r="F12">
            <v>-13.618370199099076</v>
          </cell>
        </row>
        <row r="13">
          <cell r="C13">
            <v>0.55000000000000004</v>
          </cell>
          <cell r="D13">
            <v>-30.493939393939385</v>
          </cell>
          <cell r="E13">
            <v>-6.2545454545454531</v>
          </cell>
          <cell r="F13">
            <v>-13.618370199099076</v>
          </cell>
        </row>
        <row r="14">
          <cell r="C14">
            <v>0.55000000000000004</v>
          </cell>
          <cell r="D14">
            <v>-30.312121212121205</v>
          </cell>
          <cell r="E14">
            <v>-20.236363636363635</v>
          </cell>
          <cell r="F14">
            <v>-13.618370199099076</v>
          </cell>
        </row>
        <row r="15">
          <cell r="C15">
            <v>3.81</v>
          </cell>
          <cell r="D15">
            <v>-1.7169728783902014</v>
          </cell>
          <cell r="E15">
            <v>7.8136482939632543</v>
          </cell>
          <cell r="F15">
            <v>51.369385266778465</v>
          </cell>
        </row>
        <row r="16">
          <cell r="C16">
            <v>3.81</v>
          </cell>
          <cell r="D16">
            <v>3.611111111111112</v>
          </cell>
          <cell r="E16">
            <v>11.482939632545932</v>
          </cell>
          <cell r="F16">
            <v>51.369385266778465</v>
          </cell>
        </row>
        <row r="17">
          <cell r="C17">
            <v>3.81</v>
          </cell>
          <cell r="D17">
            <v>2.3880139982502184</v>
          </cell>
          <cell r="E17">
            <v>7.5380577427821533</v>
          </cell>
          <cell r="F17">
            <v>51.369385266778465</v>
          </cell>
        </row>
        <row r="18">
          <cell r="C18">
            <v>4.63</v>
          </cell>
          <cell r="D18">
            <v>3.9024478041756669</v>
          </cell>
          <cell r="E18">
            <v>9.9330453563714887</v>
          </cell>
          <cell r="F18">
            <v>62.098887479497563</v>
          </cell>
        </row>
        <row r="19">
          <cell r="C19">
            <v>4.63</v>
          </cell>
          <cell r="D19">
            <v>6.9283657307415414</v>
          </cell>
          <cell r="E19">
            <v>8.7365010799136069</v>
          </cell>
          <cell r="F19">
            <v>62.098887479497563</v>
          </cell>
        </row>
        <row r="20">
          <cell r="C20">
            <v>4.63</v>
          </cell>
          <cell r="D20">
            <v>5.7145428365730746</v>
          </cell>
          <cell r="E20">
            <v>8.7365010799136069</v>
          </cell>
          <cell r="F20">
            <v>62.098887479497563</v>
          </cell>
        </row>
      </sheetData>
    </sheetDataSet>
  </externalBook>
</externalLink>
</file>

<file path=xl/tables/table1.xml><?xml version="1.0" encoding="utf-8"?>
<table xmlns="http://schemas.openxmlformats.org/spreadsheetml/2006/main" id="1" name="CollegeLoans" displayName="CollegeLoans" ref="A5:K25" totalsRowCount="1" headerRowDxfId="51" dataDxfId="50" totalsRowDxfId="49">
  <tableColumns count="11">
    <tableColumn id="1" name="Season/tillage" totalsRowLabel="Average (Overall)" dataDxfId="48" totalsRowDxfId="47"/>
    <tableColumn id="3" name="Cover Crop" dataDxfId="46" totalsRowDxfId="45"/>
    <tableColumn id="6" name="Fresh Weight (lb/ft2)" dataDxfId="44" totalsRowDxfId="43">
      <calculatedColumnFormula>AVERAGE(CollegeLoans[Fresh Weight (lb/ft2)])</calculatedColumnFormula>
    </tableColumn>
    <tableColumn id="7" name="Dry Content (%)" totalsRowFunction="custom" dataDxfId="42" totalsRowDxfId="41" dataCellStyle="Percent">
      <totalsRowFormula>AVERAGE(D6:D10, D12:D16, D18:D23)</totalsRowFormula>
    </tableColumn>
    <tableColumn id="4" name="Dry Weight (lb/Acre)" dataDxfId="40" totalsRowDxfId="39">
      <calculatedColumnFormula>C6*D6*43560</calculatedColumnFormula>
    </tableColumn>
    <tableColumn id="9" name="Tissue N (%)" totalsRowFunction="custom" dataDxfId="38" totalsRowDxfId="37">
      <totalsRowFormula>AVERAGE(F6:F10, F12:F16, F18:F23)</totalsRowFormula>
    </tableColumn>
    <tableColumn id="5" name="Total N(lb/A)" dataDxfId="36" totalsRowDxfId="35">
      <calculatedColumnFormula>IF(AND(CollegeLoans[[#This Row],[Dry Weight (lb/Acre)]]&gt;0,CollegeLoans[[#This Row],[Tissue N (%)]]&gt;0),EDATE(CollegeLoans[[#This Row],[Dry Weight (lb/Acre)]],CollegeLoans[[#This Row],[Tissue N (%)]]*12),"")</calculatedColumnFormula>
    </tableColumn>
    <tableColumn id="8" name="PAN (%)" totalsRowFunction="custom" dataDxfId="34" totalsRowDxfId="33" dataCellStyle="20% - Accent1">
      <totalsRowFormula>AVERAGE(H6:H10, H12:H16, H18:H23)</totalsRowFormula>
    </tableColumn>
    <tableColumn id="13" name="Actual PAN (lb/A)" totalsRowFunction="custom" dataDxfId="32" totalsRowDxfId="31">
      <calculatedColumnFormula>AVERAGE(CollegeLoans[Actual PAN (lb/A)])</calculatedColumnFormula>
      <totalsRowFormula>AVERAGE(I6:I10, I12:I16, I18:I23)</totalsRowFormula>
    </tableColumn>
    <tableColumn id="11" name="PAN (%)2" totalsRowFunction="custom" dataDxfId="30" totalsRowDxfId="29">
      <calculatedColumnFormula>IF(COUNTA(CollegeLoans[[#This Row],[Fresh Weight (lb/ft2)]:[Tissue N (%)]])&lt;&gt;4,"",PMT(CollegeLoans[[#This Row],[Dry Content (%)]]/12,CollegeLoans[[#This Row],[Tissue N (%)]]*12,-CollegeLoans[[#This Row],[Fresh Weight (lb/ft2)]],0,0))</calculatedColumnFormula>
      <totalsRowFormula>AVERAGE(J6:J10, J12:J16, J18:J23)</totalsRowFormula>
    </tableColumn>
    <tableColumn id="2" name="Actual PAN(lb/A)" totalsRowFunction="custom" dataDxfId="28" totalsRowDxfId="27">
      <calculatedColumnFormula>AVERAGE(CollegeLoans[Actual PAN(lb/A)])</calculatedColumnFormula>
      <totalsRowFormula>AVERAGE(K6:K10, K12:K16, K18:K23)</totalsRowFormula>
    </tableColumn>
  </tableColumns>
  <tableStyleInfo name="College Loan Calculator" showFirstColumn="0" showLastColumn="0" showRowStripes="1" showColumnStripes="0"/>
</table>
</file>

<file path=xl/tables/table2.xml><?xml version="1.0" encoding="utf-8"?>
<table xmlns="http://schemas.openxmlformats.org/spreadsheetml/2006/main" id="2" name="CollegeLoans3" displayName="CollegeLoans3" ref="A6:L12" totalsRowShown="0" headerRowDxfId="26" dataDxfId="25" totalsRowDxfId="24">
  <tableColumns count="12">
    <tableColumn id="1" name="Season/tillage" dataDxfId="23" totalsRowDxfId="22"/>
    <tableColumn id="3" name="Cover Crop" dataDxfId="21" totalsRowDxfId="20"/>
    <tableColumn id="6" name="Fresh Weight (lb/ft2)" dataDxfId="19" totalsRowDxfId="18">
      <calculatedColumnFormula>AVERAGE(CollegeLoans3[Fresh Weight (lb/ft2)])</calculatedColumnFormula>
    </tableColumn>
    <tableColumn id="10" name="Fresh Weight (lbs/ac)" dataDxfId="17" totalsRowDxfId="16">
      <calculatedColumnFormula>CollegeLoans3[[#This Row],[Fresh Weight (lb/ft2)]]*43560</calculatedColumnFormula>
    </tableColumn>
    <tableColumn id="7" name="Dry Matter (%)" dataDxfId="15" totalsRowDxfId="14" dataCellStyle="Percent"/>
    <tableColumn id="4" name="Dry Weight (lb/Acre)" dataDxfId="13" totalsRowDxfId="12">
      <calculatedColumnFormula>C7*E7*43560</calculatedColumnFormula>
    </tableColumn>
    <tableColumn id="9" name="Tissue N (%)" dataDxfId="11" totalsRowDxfId="10"/>
    <tableColumn id="5" name="Total N (lb/A)" dataDxfId="9" totalsRowDxfId="8">
      <calculatedColumnFormula>IF(AND(CollegeLoans3[[#This Row],[Dry Weight (lb/Acre)]]&gt;0,CollegeLoans3[[#This Row],[Tissue N (%)]]&gt;0),EDATE(CollegeLoans3[[#This Row],[Dry Weight (lb/Acre)]],CollegeLoans3[[#This Row],[Tissue N (%)]]*12),"")</calculatedColumnFormula>
    </tableColumn>
    <tableColumn id="8" name="PAN (%)" dataDxfId="7" totalsRowDxfId="6" dataCellStyle="20% - Accent1"/>
    <tableColumn id="13" name="Actual PAN (lb/A)" dataDxfId="5" totalsRowDxfId="4">
      <calculatedColumnFormula>AVERAGE(CollegeLoans3[Actual PAN (lb/A)])</calculatedColumnFormula>
    </tableColumn>
    <tableColumn id="11" name="PAN (%)2" dataDxfId="3" totalsRowDxfId="2">
      <calculatedColumnFormula>IF(COUNTA(CollegeLoans3[[#This Row],[Fresh Weight (lb/ft2)]:[Tissue N (%)]])&lt;&gt;4,"",PMT(CollegeLoans3[[#This Row],[Dry Matter (%)]]/12,CollegeLoans3[[#This Row],[Tissue N (%)]]*12,-CollegeLoans3[[#This Row],[Fresh Weight (lb/ft2)]],0,0))</calculatedColumnFormula>
    </tableColumn>
    <tableColumn id="2" name="Actual PAN (lb/A)2" dataDxfId="1" totalsRowDxfId="0">
      <calculatedColumnFormula>AVERAGE(CollegeLoans3[Actual PAN (lb/A)2])</calculatedColumnFormula>
    </tableColumn>
  </tableColumns>
  <tableStyleInfo name="College Loan Calculator" showFirstColumn="0" showLastColumn="0" showRowStripes="1" showColumnStripes="0"/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2" workbookViewId="0">
      <selection activeCell="F8" sqref="F8"/>
    </sheetView>
  </sheetViews>
  <sheetFormatPr baseColWidth="10" defaultColWidth="8.83203125" defaultRowHeight="14" x14ac:dyDescent="0"/>
  <cols>
    <col min="1" max="1" width="2.83203125" style="75" customWidth="1"/>
    <col min="2" max="2" width="21.5" customWidth="1"/>
    <col min="3" max="3" width="91" customWidth="1"/>
  </cols>
  <sheetData>
    <row r="1" spans="1:3" ht="36.75" customHeight="1"/>
    <row r="2" spans="1:3" ht="39" customHeight="1">
      <c r="C2" s="111" t="s">
        <v>85</v>
      </c>
    </row>
    <row r="3" spans="1:3" ht="20">
      <c r="A3" s="124" t="s">
        <v>77</v>
      </c>
      <c r="B3" s="96"/>
      <c r="C3" s="96"/>
    </row>
    <row r="4" spans="1:3" ht="30">
      <c r="A4" s="128">
        <v>1</v>
      </c>
      <c r="B4" s="125" t="s">
        <v>74</v>
      </c>
      <c r="C4" s="145" t="s">
        <v>108</v>
      </c>
    </row>
    <row r="5" spans="1:3" ht="28">
      <c r="A5" s="128">
        <v>2</v>
      </c>
      <c r="B5" s="125" t="s">
        <v>75</v>
      </c>
      <c r="C5" s="142" t="s">
        <v>103</v>
      </c>
    </row>
    <row r="6" spans="1:3">
      <c r="A6" s="128">
        <v>3</v>
      </c>
      <c r="B6" s="125" t="s">
        <v>76</v>
      </c>
      <c r="C6" s="126" t="s">
        <v>79</v>
      </c>
    </row>
    <row r="7" spans="1:3" ht="28">
      <c r="A7" s="128">
        <v>4</v>
      </c>
      <c r="B7" s="125" t="s">
        <v>78</v>
      </c>
      <c r="C7" s="142" t="s">
        <v>104</v>
      </c>
    </row>
    <row r="8" spans="1:3" ht="28">
      <c r="A8" s="128">
        <v>6</v>
      </c>
      <c r="B8" s="127" t="s">
        <v>90</v>
      </c>
      <c r="C8" s="142" t="s">
        <v>105</v>
      </c>
    </row>
    <row r="9" spans="1:3" ht="28">
      <c r="A9" s="128">
        <v>7</v>
      </c>
      <c r="B9" s="127" t="s">
        <v>91</v>
      </c>
      <c r="C9" s="146" t="s">
        <v>109</v>
      </c>
    </row>
    <row r="10" spans="1:3">
      <c r="A10" s="128">
        <v>8</v>
      </c>
      <c r="B10" s="125" t="s">
        <v>80</v>
      </c>
      <c r="C10" s="145" t="s">
        <v>110</v>
      </c>
    </row>
    <row r="11" spans="1:3" ht="28">
      <c r="A11" s="129">
        <v>9</v>
      </c>
      <c r="B11" s="125" t="s">
        <v>81</v>
      </c>
      <c r="C11" s="141" t="s">
        <v>89</v>
      </c>
    </row>
    <row r="12" spans="1:3">
      <c r="A12" s="129">
        <v>10</v>
      </c>
      <c r="B12" s="125" t="s">
        <v>82</v>
      </c>
      <c r="C12" s="141" t="s">
        <v>83</v>
      </c>
    </row>
    <row r="13" spans="1:3">
      <c r="A13" s="134"/>
      <c r="B13" s="135"/>
    </row>
    <row r="14" spans="1:3" ht="16">
      <c r="A14" s="75" t="s">
        <v>98</v>
      </c>
    </row>
    <row r="15" spans="1:3" ht="16">
      <c r="A15" s="75" t="s">
        <v>96</v>
      </c>
    </row>
    <row r="16" spans="1:3" ht="16">
      <c r="A16" s="75" t="s">
        <v>97</v>
      </c>
    </row>
    <row r="17" spans="1:1">
      <c r="A17" s="75" t="s">
        <v>94</v>
      </c>
    </row>
    <row r="18" spans="1:1">
      <c r="A18" s="75" t="s">
        <v>95</v>
      </c>
    </row>
  </sheetData>
  <sheetProtection algorithmName="SHA-512" hashValue="e0VTDVKsbYbPxA1cH0FOSHPDj96quiGusEX9i9+pvcjBwfXoLQAal07qfgsX70tN6petei+OyD6oZD/L1k9Alw==" saltValue="DENiz7FKrR1L1XtuiJiPpA==" spinCount="100000" sheet="1" scenarios="1" formatCells="0"/>
  <pageMargins left="0.7" right="0.7" top="0.75" bottom="0.75" header="0.3" footer="0.3"/>
  <pageSetup orientation="landscape" horizontalDpi="4294967295" verticalDpi="429496729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3:N29"/>
  <sheetViews>
    <sheetView zoomScale="89" zoomScaleNormal="89" zoomScalePageLayoutView="89" workbookViewId="0">
      <selection activeCell="H11" sqref="H11"/>
    </sheetView>
  </sheetViews>
  <sheetFormatPr baseColWidth="10" defaultColWidth="8.83203125" defaultRowHeight="14" x14ac:dyDescent="0"/>
  <cols>
    <col min="1" max="1" width="8.6640625" style="85" customWidth="1"/>
    <col min="2" max="2" width="11.6640625" style="85" customWidth="1"/>
    <col min="3" max="3" width="10.83203125" style="85" customWidth="1"/>
    <col min="4" max="4" width="8.6640625" style="85" customWidth="1"/>
    <col min="5" max="5" width="10.33203125" style="85" customWidth="1"/>
    <col min="6" max="6" width="8.5" style="85" customWidth="1"/>
    <col min="7" max="7" width="10.5" style="85" customWidth="1"/>
    <col min="8" max="8" width="9.5" style="85" customWidth="1"/>
    <col min="9" max="9" width="9.6640625" style="85" customWidth="1"/>
    <col min="10" max="10" width="8.5" style="85" customWidth="1"/>
    <col min="11" max="11" width="7" style="85" customWidth="1"/>
    <col min="12" max="12" width="10.33203125" style="85" customWidth="1"/>
    <col min="13" max="13" width="8.6640625" style="85" bestFit="1" customWidth="1"/>
    <col min="14" max="14" width="10.5" style="85" customWidth="1"/>
    <col min="15" max="15" width="11.1640625" style="85" customWidth="1"/>
    <col min="16" max="16" width="13" style="85" customWidth="1"/>
    <col min="17" max="17" width="12.33203125" style="85" customWidth="1"/>
    <col min="18" max="16384" width="8.83203125" style="85"/>
  </cols>
  <sheetData>
    <row r="3" spans="1:14" ht="42.75" customHeight="1">
      <c r="C3" s="111" t="s">
        <v>85</v>
      </c>
    </row>
    <row r="4" spans="1:14" ht="15.75" customHeight="1">
      <c r="C4" s="111"/>
    </row>
    <row r="5" spans="1:14" ht="18" customHeight="1" thickBot="1">
      <c r="A5" s="86" t="s">
        <v>92</v>
      </c>
      <c r="C5" s="111"/>
    </row>
    <row r="6" spans="1:14">
      <c r="A6" s="91" t="s">
        <v>68</v>
      </c>
      <c r="B6" s="156">
        <f ca="1">TODAY()</f>
        <v>43031</v>
      </c>
      <c r="C6" s="157"/>
      <c r="D6" s="164" t="s">
        <v>59</v>
      </c>
      <c r="E6" s="164"/>
      <c r="F6" s="164"/>
      <c r="G6" s="164"/>
      <c r="H6" s="166" t="s">
        <v>84</v>
      </c>
      <c r="I6" s="167"/>
      <c r="J6" s="167"/>
      <c r="K6" s="167"/>
      <c r="L6" s="167"/>
      <c r="M6" s="167"/>
      <c r="N6" s="168"/>
    </row>
    <row r="7" spans="1:14" ht="30.75" customHeight="1">
      <c r="A7" s="177" t="s">
        <v>65</v>
      </c>
      <c r="B7" s="178"/>
      <c r="C7" s="179"/>
      <c r="D7" s="165"/>
      <c r="E7" s="165"/>
      <c r="F7" s="165"/>
      <c r="G7" s="165"/>
      <c r="H7" s="169"/>
      <c r="I7" s="170"/>
      <c r="J7" s="170"/>
      <c r="K7" s="170"/>
      <c r="L7" s="170"/>
      <c r="M7" s="170"/>
      <c r="N7" s="171"/>
    </row>
    <row r="8" spans="1:14">
      <c r="A8" s="175" t="s">
        <v>61</v>
      </c>
      <c r="B8" s="173"/>
      <c r="C8" s="176"/>
      <c r="D8" s="172" t="s">
        <v>60</v>
      </c>
      <c r="E8" s="173"/>
      <c r="F8" s="173"/>
      <c r="G8" s="174"/>
      <c r="H8" s="175" t="s">
        <v>62</v>
      </c>
      <c r="I8" s="173"/>
      <c r="J8" s="173"/>
      <c r="K8" s="173" t="s">
        <v>63</v>
      </c>
      <c r="L8" s="173"/>
      <c r="M8" s="173" t="s">
        <v>64</v>
      </c>
      <c r="N8" s="176"/>
    </row>
    <row r="9" spans="1:14" s="86" customFormat="1" ht="63.75" customHeight="1" thickBot="1">
      <c r="A9" s="77" t="s">
        <v>41</v>
      </c>
      <c r="B9" s="78" t="s">
        <v>33</v>
      </c>
      <c r="C9" s="79" t="s">
        <v>42</v>
      </c>
      <c r="D9" s="80" t="s">
        <v>66</v>
      </c>
      <c r="E9" s="81" t="s">
        <v>58</v>
      </c>
      <c r="F9" s="81" t="s">
        <v>56</v>
      </c>
      <c r="G9" s="147" t="s">
        <v>57</v>
      </c>
      <c r="H9" s="152" t="s">
        <v>55</v>
      </c>
      <c r="I9" s="150" t="s">
        <v>1</v>
      </c>
      <c r="J9" s="149" t="s">
        <v>67</v>
      </c>
      <c r="K9" s="149" t="s">
        <v>6</v>
      </c>
      <c r="L9" s="150" t="s">
        <v>14</v>
      </c>
      <c r="M9" s="149" t="s">
        <v>7</v>
      </c>
      <c r="N9" s="153" t="s">
        <v>14</v>
      </c>
    </row>
    <row r="10" spans="1:14" s="86" customFormat="1" ht="17" customHeight="1">
      <c r="A10" s="82" t="s">
        <v>43</v>
      </c>
      <c r="B10" s="83" t="s">
        <v>34</v>
      </c>
      <c r="C10" s="84" t="s">
        <v>44</v>
      </c>
      <c r="D10" s="87"/>
      <c r="E10" s="115"/>
      <c r="F10" s="115"/>
      <c r="G10" s="148"/>
      <c r="H10" s="98">
        <f t="shared" ref="H10:H19" si="0">D10/43560</f>
        <v>0</v>
      </c>
      <c r="I10" s="99">
        <f t="shared" ref="I10:I19" si="1">IF(H10=0,0,(E10/H10)*(G10/100))</f>
        <v>0</v>
      </c>
      <c r="J10" s="99">
        <f t="shared" ref="J10:J19" si="2">I10*(F10/100)</f>
        <v>0</v>
      </c>
      <c r="K10" s="103">
        <f>IF(F10=0,0,(0.562*F10*F10)+(1.6376*F10)+52.677)</f>
        <v>0</v>
      </c>
      <c r="L10" s="101">
        <f t="shared" ref="L10:L19" si="3">J10*(K10/100)</f>
        <v>0</v>
      </c>
      <c r="M10" s="103">
        <f>IF(F10=0,0,(-0.5346*F10*F10)+(9.4219*F10)+53.371)</f>
        <v>0</v>
      </c>
      <c r="N10" s="102">
        <f t="shared" ref="N10:N19" si="4">J10*(M10/100)</f>
        <v>0</v>
      </c>
    </row>
    <row r="11" spans="1:14" s="86" customFormat="1" ht="17" customHeight="1">
      <c r="A11" s="73" t="s">
        <v>43</v>
      </c>
      <c r="B11" s="72" t="s">
        <v>50</v>
      </c>
      <c r="C11" s="74" t="s">
        <v>51</v>
      </c>
      <c r="D11" s="89"/>
      <c r="E11" s="116"/>
      <c r="F11" s="116"/>
      <c r="G11" s="151"/>
      <c r="H11" s="98">
        <f t="shared" si="0"/>
        <v>0</v>
      </c>
      <c r="I11" s="99">
        <f t="shared" si="1"/>
        <v>0</v>
      </c>
      <c r="J11" s="99">
        <f t="shared" si="2"/>
        <v>0</v>
      </c>
      <c r="K11" s="100">
        <f>IF(F11=0,0,(-0.182*F11*F11)+(41.686*F11)-72.766)</f>
        <v>0</v>
      </c>
      <c r="L11" s="101">
        <f t="shared" si="3"/>
        <v>0</v>
      </c>
      <c r="M11" s="100">
        <f>IF(F11=0,0,(-27.359*F11*F11)+(149.89*F11)-152.17)</f>
        <v>0</v>
      </c>
      <c r="N11" s="102">
        <f t="shared" si="4"/>
        <v>0</v>
      </c>
    </row>
    <row r="12" spans="1:14" s="86" customFormat="1" ht="17" customHeight="1">
      <c r="A12" s="73" t="s">
        <v>43</v>
      </c>
      <c r="B12" s="72" t="s">
        <v>52</v>
      </c>
      <c r="C12" s="74" t="s">
        <v>44</v>
      </c>
      <c r="D12" s="89"/>
      <c r="E12" s="116"/>
      <c r="F12" s="116"/>
      <c r="G12" s="151"/>
      <c r="H12" s="98">
        <f t="shared" si="0"/>
        <v>0</v>
      </c>
      <c r="I12" s="99">
        <f t="shared" si="1"/>
        <v>0</v>
      </c>
      <c r="J12" s="99">
        <f t="shared" si="2"/>
        <v>0</v>
      </c>
      <c r="K12" s="103">
        <f>IF(F12=0,0,(-12.948*F12*F12)+(77.68*F12)-90.368)</f>
        <v>0</v>
      </c>
      <c r="L12" s="101">
        <f t="shared" si="3"/>
        <v>0</v>
      </c>
      <c r="M12" s="103">
        <f>IF(F12=0,0,(-15.814*F12*F12)+(94.624*F12)-106.89)</f>
        <v>0</v>
      </c>
      <c r="N12" s="102">
        <f t="shared" si="4"/>
        <v>0</v>
      </c>
    </row>
    <row r="13" spans="1:14" s="86" customFormat="1" ht="17" customHeight="1">
      <c r="A13" s="73" t="s">
        <v>48</v>
      </c>
      <c r="B13" s="72" t="s">
        <v>35</v>
      </c>
      <c r="C13" s="74" t="s">
        <v>45</v>
      </c>
      <c r="D13" s="89"/>
      <c r="E13" s="116"/>
      <c r="F13" s="116"/>
      <c r="G13" s="151"/>
      <c r="H13" s="98">
        <f t="shared" si="0"/>
        <v>0</v>
      </c>
      <c r="I13" s="99">
        <f t="shared" si="1"/>
        <v>0</v>
      </c>
      <c r="J13" s="99">
        <f t="shared" si="2"/>
        <v>0</v>
      </c>
      <c r="K13" s="100">
        <f>IF(F13=0,0,(-1.9606*F13*F13)+(22.745*F13)-3.3735)</f>
        <v>0</v>
      </c>
      <c r="L13" s="101">
        <f t="shared" si="3"/>
        <v>0</v>
      </c>
      <c r="M13" s="103">
        <f>IF(F13=0,0,(-3.0677*F13*F13)+(29.991*F13)-6.0594)</f>
        <v>0</v>
      </c>
      <c r="N13" s="102">
        <f t="shared" si="4"/>
        <v>0</v>
      </c>
    </row>
    <row r="14" spans="1:14" s="86" customFormat="1" ht="17" customHeight="1">
      <c r="A14" s="73" t="s">
        <v>111</v>
      </c>
      <c r="B14" s="72" t="s">
        <v>113</v>
      </c>
      <c r="C14" s="74" t="s">
        <v>44</v>
      </c>
      <c r="D14" s="89"/>
      <c r="E14" s="116"/>
      <c r="F14" s="116"/>
      <c r="G14" s="151"/>
      <c r="H14" s="98">
        <f t="shared" si="0"/>
        <v>0</v>
      </c>
      <c r="I14" s="99">
        <f t="shared" si="1"/>
        <v>0</v>
      </c>
      <c r="J14" s="99">
        <f>K14*(F14/100)</f>
        <v>0</v>
      </c>
      <c r="K14" s="103">
        <f>IF(F14=0,0,(-0.2816*F14*F14)+(8.6031*F14)-13.157)</f>
        <v>0</v>
      </c>
      <c r="L14" s="101">
        <f t="shared" si="3"/>
        <v>0</v>
      </c>
      <c r="M14" s="103">
        <f>IF(F14=0,0,(1.7427*F14*F14)-(3.1886*F14)+10.069)</f>
        <v>0</v>
      </c>
      <c r="N14" s="102">
        <f t="shared" si="4"/>
        <v>0</v>
      </c>
    </row>
    <row r="15" spans="1:14" s="86" customFormat="1" ht="17" customHeight="1">
      <c r="A15" s="73" t="s">
        <v>47</v>
      </c>
      <c r="B15" s="72" t="s">
        <v>53</v>
      </c>
      <c r="C15" s="74" t="s">
        <v>45</v>
      </c>
      <c r="D15" s="89"/>
      <c r="E15" s="116"/>
      <c r="F15" s="116"/>
      <c r="G15" s="151"/>
      <c r="H15" s="98">
        <f t="shared" si="0"/>
        <v>0</v>
      </c>
      <c r="I15" s="99">
        <f t="shared" si="1"/>
        <v>0</v>
      </c>
      <c r="J15" s="99">
        <f t="shared" si="2"/>
        <v>0</v>
      </c>
      <c r="K15" s="100">
        <f>IF(F15=0,0,(-15.852*F15*F15)+(98.617*F15)-115.12)</f>
        <v>0</v>
      </c>
      <c r="L15" s="101">
        <f t="shared" si="3"/>
        <v>0</v>
      </c>
      <c r="M15" s="103">
        <f>IF(F15=0,0,(-22.557*F15*F15)+(122.5*F15)-129.12)</f>
        <v>0</v>
      </c>
      <c r="N15" s="102">
        <f t="shared" si="4"/>
        <v>0</v>
      </c>
    </row>
    <row r="16" spans="1:14" s="86" customFormat="1" ht="17" customHeight="1">
      <c r="A16" s="73" t="s">
        <v>47</v>
      </c>
      <c r="B16" s="72" t="s">
        <v>36</v>
      </c>
      <c r="C16" s="74" t="s">
        <v>45</v>
      </c>
      <c r="D16" s="89"/>
      <c r="E16" s="116"/>
      <c r="F16" s="116"/>
      <c r="G16" s="151"/>
      <c r="H16" s="98">
        <f t="shared" si="0"/>
        <v>0</v>
      </c>
      <c r="I16" s="99">
        <f t="shared" si="1"/>
        <v>0</v>
      </c>
      <c r="J16" s="99">
        <f t="shared" si="2"/>
        <v>0</v>
      </c>
      <c r="K16" s="103">
        <f>IF(F16=0,0,(-13.596*F16*F16)+(99.847*F16)-111.57)</f>
        <v>0</v>
      </c>
      <c r="L16" s="101">
        <f t="shared" si="3"/>
        <v>0</v>
      </c>
      <c r="M16" s="104">
        <f>IF(F16=0,0,(-21.093*F16*F16)+(141.72*F16)-150.69)</f>
        <v>0</v>
      </c>
      <c r="N16" s="102">
        <f t="shared" si="4"/>
        <v>0</v>
      </c>
    </row>
    <row r="17" spans="1:14" s="86" customFormat="1" ht="17" customHeight="1">
      <c r="A17" s="73" t="s">
        <v>47</v>
      </c>
      <c r="B17" s="72" t="s">
        <v>112</v>
      </c>
      <c r="C17" s="74" t="s">
        <v>51</v>
      </c>
      <c r="D17" s="89"/>
      <c r="E17" s="116"/>
      <c r="F17" s="116"/>
      <c r="G17" s="151"/>
      <c r="H17" s="98">
        <f t="shared" si="0"/>
        <v>0</v>
      </c>
      <c r="I17" s="99">
        <f t="shared" si="1"/>
        <v>0</v>
      </c>
      <c r="J17" s="99">
        <f t="shared" si="2"/>
        <v>0</v>
      </c>
      <c r="K17" s="103">
        <f>IF(F17=0,0,(-2.096*F17*F17)+(17.779*F17)-35.27)</f>
        <v>0</v>
      </c>
      <c r="L17" s="101">
        <f t="shared" si="3"/>
        <v>0</v>
      </c>
      <c r="M17" s="104">
        <f>IF(F17=0,0,(-0.8505*F17*F17)+(10.622*F17)-20.349)</f>
        <v>0</v>
      </c>
      <c r="N17" s="102">
        <f t="shared" si="4"/>
        <v>0</v>
      </c>
    </row>
    <row r="18" spans="1:14" s="86" customFormat="1" ht="17" customHeight="1">
      <c r="A18" s="73" t="s">
        <v>47</v>
      </c>
      <c r="B18" s="92" t="s">
        <v>54</v>
      </c>
      <c r="C18" s="74" t="s">
        <v>51</v>
      </c>
      <c r="D18" s="89"/>
      <c r="E18" s="116"/>
      <c r="F18" s="116"/>
      <c r="G18" s="151"/>
      <c r="H18" s="98">
        <f t="shared" si="0"/>
        <v>0</v>
      </c>
      <c r="I18" s="99">
        <f t="shared" si="1"/>
        <v>0</v>
      </c>
      <c r="J18" s="99">
        <f t="shared" si="2"/>
        <v>0</v>
      </c>
      <c r="K18" s="100">
        <f>IF(F18=0,0,(-25.945*F18*F18)+(149.49*F18)-184.53)</f>
        <v>0</v>
      </c>
      <c r="L18" s="101">
        <f t="shared" si="3"/>
        <v>0</v>
      </c>
      <c r="M18" s="103">
        <f>IF(F18=0,0,(-12.925*F18*F18)+(75.504*F18)-75.778)</f>
        <v>0</v>
      </c>
      <c r="N18" s="102">
        <f t="shared" si="4"/>
        <v>0</v>
      </c>
    </row>
    <row r="19" spans="1:14" s="86" customFormat="1" ht="17" customHeight="1" thickBot="1">
      <c r="A19" s="77" t="s">
        <v>49</v>
      </c>
      <c r="B19" s="78" t="s">
        <v>37</v>
      </c>
      <c r="C19" s="79" t="s">
        <v>46</v>
      </c>
      <c r="D19" s="89"/>
      <c r="E19" s="116"/>
      <c r="F19" s="116"/>
      <c r="G19" s="151"/>
      <c r="H19" s="105">
        <f t="shared" si="0"/>
        <v>0</v>
      </c>
      <c r="I19" s="106">
        <f t="shared" si="1"/>
        <v>0</v>
      </c>
      <c r="J19" s="106">
        <f t="shared" si="2"/>
        <v>0</v>
      </c>
      <c r="K19" s="107">
        <f>IF(F19=0,0,(-6.1127*F19*F19)+(48.676*F19)-31.849)</f>
        <v>0</v>
      </c>
      <c r="L19" s="108">
        <f t="shared" si="3"/>
        <v>0</v>
      </c>
      <c r="M19" s="109">
        <f>IF(F19=0,0,(-14.948*F19*F19)+(108.06*F19)-126.58)</f>
        <v>0</v>
      </c>
      <c r="N19" s="110">
        <f t="shared" si="4"/>
        <v>0</v>
      </c>
    </row>
    <row r="20" spans="1:14" ht="17" customHeight="1">
      <c r="A20" s="160" t="s">
        <v>101</v>
      </c>
      <c r="B20" s="161"/>
      <c r="C20" s="161"/>
      <c r="D20" s="161"/>
      <c r="E20" s="161"/>
      <c r="F20" s="161"/>
      <c r="G20" s="88"/>
    </row>
    <row r="21" spans="1:14" ht="17" customHeight="1">
      <c r="A21" s="158" t="s">
        <v>88</v>
      </c>
      <c r="B21" s="159"/>
      <c r="C21" s="159"/>
      <c r="D21" s="159"/>
      <c r="E21" s="159"/>
      <c r="F21" s="159"/>
      <c r="G21" s="90"/>
    </row>
    <row r="22" spans="1:14" ht="17" customHeight="1" thickBot="1">
      <c r="A22" s="162" t="s">
        <v>102</v>
      </c>
      <c r="B22" s="163"/>
      <c r="C22" s="163"/>
      <c r="D22" s="163"/>
      <c r="E22" s="163"/>
      <c r="F22" s="163"/>
      <c r="G22" s="76">
        <f>G20-G21</f>
        <v>0</v>
      </c>
      <c r="H22" s="144" t="s">
        <v>107</v>
      </c>
    </row>
    <row r="23" spans="1:14" ht="15">
      <c r="A23" s="95"/>
    </row>
    <row r="24" spans="1:14">
      <c r="A24" s="154" t="s">
        <v>99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</row>
    <row r="25" spans="1:14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  <row r="27" spans="1:14">
      <c r="A27" s="143" t="s">
        <v>106</v>
      </c>
    </row>
    <row r="29" spans="1:14">
      <c r="A29" s="97"/>
    </row>
  </sheetData>
  <sheetProtection password="CE57" sheet="1" objects="1" scenarios="1" formatCells="0"/>
  <mergeCells count="13">
    <mergeCell ref="A24:N25"/>
    <mergeCell ref="B6:C6"/>
    <mergeCell ref="A21:F21"/>
    <mergeCell ref="A20:F20"/>
    <mergeCell ref="A22:F22"/>
    <mergeCell ref="D6:G7"/>
    <mergeCell ref="H6:N7"/>
    <mergeCell ref="D8:G8"/>
    <mergeCell ref="A8:C8"/>
    <mergeCell ref="H8:J8"/>
    <mergeCell ref="A7:C7"/>
    <mergeCell ref="K8:L8"/>
    <mergeCell ref="M8:N8"/>
  </mergeCells>
  <pageMargins left="0.25" right="0.25" top="0.5" bottom="0.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autoPageBreaks="0" fitToPage="1"/>
  </sheetPr>
  <dimension ref="A3:S30"/>
  <sheetViews>
    <sheetView showGridLines="0" workbookViewId="0">
      <pane ySplit="5" topLeftCell="A17" activePane="bottomLeft" state="frozen"/>
      <selection pane="bottomLeft" activeCell="A26" sqref="A26"/>
    </sheetView>
  </sheetViews>
  <sheetFormatPr baseColWidth="10" defaultColWidth="8.83203125" defaultRowHeight="20.25" customHeight="1" x14ac:dyDescent="0"/>
  <cols>
    <col min="1" max="2" width="20.6640625" style="4" customWidth="1"/>
    <col min="3" max="4" width="14.5" style="4" customWidth="1"/>
    <col min="5" max="5" width="15.83203125" style="4" customWidth="1"/>
    <col min="6" max="6" width="12.33203125" style="4" customWidth="1"/>
    <col min="7" max="7" width="12.83203125" style="4" customWidth="1"/>
    <col min="8" max="8" width="17" style="4" customWidth="1"/>
    <col min="9" max="9" width="14.5" style="4" customWidth="1"/>
    <col min="10" max="11" width="19.5" style="4" customWidth="1"/>
    <col min="12" max="12" width="2" style="4" customWidth="1"/>
    <col min="13" max="13" width="1.5" style="4" customWidth="1"/>
    <col min="14" max="16384" width="8.83203125" style="4"/>
  </cols>
  <sheetData>
    <row r="3" spans="1:11" ht="45.75" customHeight="1">
      <c r="B3" s="112" t="s">
        <v>87</v>
      </c>
    </row>
    <row r="4" spans="1:11" ht="23.25" customHeight="1">
      <c r="A4" s="181" t="s">
        <v>13</v>
      </c>
      <c r="B4" s="181"/>
      <c r="C4" s="181"/>
      <c r="D4" s="182"/>
      <c r="E4" s="180" t="s">
        <v>3</v>
      </c>
      <c r="F4" s="181"/>
      <c r="G4" s="182"/>
      <c r="H4" s="180" t="s">
        <v>4</v>
      </c>
      <c r="I4" s="181"/>
      <c r="J4" s="180" t="s">
        <v>5</v>
      </c>
      <c r="K4" s="181"/>
    </row>
    <row r="5" spans="1:11" ht="36" customHeight="1" thickBot="1">
      <c r="A5" s="3" t="s">
        <v>11</v>
      </c>
      <c r="B5" s="1" t="s">
        <v>10</v>
      </c>
      <c r="C5" s="2" t="s">
        <v>0</v>
      </c>
      <c r="D5" s="5" t="s">
        <v>9</v>
      </c>
      <c r="E5" s="6" t="s">
        <v>1</v>
      </c>
      <c r="F5" s="2" t="s">
        <v>8</v>
      </c>
      <c r="G5" s="5" t="s">
        <v>2</v>
      </c>
      <c r="H5" s="2" t="s">
        <v>6</v>
      </c>
      <c r="I5" s="7" t="s">
        <v>14</v>
      </c>
      <c r="J5" s="6" t="s">
        <v>7</v>
      </c>
      <c r="K5" s="2" t="s">
        <v>15</v>
      </c>
    </row>
    <row r="6" spans="1:11" ht="20.25" customHeight="1">
      <c r="A6" s="34" t="s">
        <v>12</v>
      </c>
      <c r="B6" s="35" t="s">
        <v>16</v>
      </c>
      <c r="C6" s="10">
        <v>1.2</v>
      </c>
      <c r="D6" s="8">
        <v>0.23100000000000001</v>
      </c>
      <c r="E6" s="32">
        <f>C6*D6*43560</f>
        <v>12074.832</v>
      </c>
      <c r="F6" s="121">
        <v>1.66</v>
      </c>
      <c r="G6" s="36">
        <f>E6*(F6/100)</f>
        <v>200.4422112</v>
      </c>
      <c r="H6" s="15">
        <v>55.24</v>
      </c>
      <c r="I6" s="32">
        <f>G6*(H6/100)</f>
        <v>110.72427746688</v>
      </c>
      <c r="J6" s="19">
        <v>67.819999999999993</v>
      </c>
      <c r="K6" s="37">
        <f>G6*(J6/100)</f>
        <v>135.93990763583997</v>
      </c>
    </row>
    <row r="7" spans="1:11" ht="20.25" customHeight="1">
      <c r="A7" s="34" t="s">
        <v>12</v>
      </c>
      <c r="B7" s="35" t="s">
        <v>27</v>
      </c>
      <c r="C7" s="11">
        <v>1.04</v>
      </c>
      <c r="D7" s="8">
        <v>0.13700000000000001</v>
      </c>
      <c r="E7" s="32">
        <f>C7*D7*43560</f>
        <v>6206.4288000000006</v>
      </c>
      <c r="F7" s="122">
        <v>2.87</v>
      </c>
      <c r="G7" s="36">
        <f>E7*(F7/100)</f>
        <v>178.12450656000001</v>
      </c>
      <c r="H7" s="15">
        <v>63.74</v>
      </c>
      <c r="I7" s="32">
        <f>G7*(H7/100)</f>
        <v>113.536560481344</v>
      </c>
      <c r="J7" s="19">
        <v>75.17</v>
      </c>
      <c r="K7" s="37">
        <f>G7*(J7/100)</f>
        <v>133.89619158115201</v>
      </c>
    </row>
    <row r="8" spans="1:11" ht="20.25" customHeight="1">
      <c r="A8" s="34" t="s">
        <v>12</v>
      </c>
      <c r="B8" s="35" t="s">
        <v>18</v>
      </c>
      <c r="C8" s="11">
        <v>0.9</v>
      </c>
      <c r="D8" s="8">
        <v>0.1489</v>
      </c>
      <c r="E8" s="32">
        <f>C8*D8*43560</f>
        <v>5837.4756000000007</v>
      </c>
      <c r="F8" s="122">
        <v>2.75</v>
      </c>
      <c r="G8" s="36">
        <f>E8*(F8/100)</f>
        <v>160.53057900000002</v>
      </c>
      <c r="H8" s="15">
        <v>62.72</v>
      </c>
      <c r="I8" s="32">
        <f>G8*(H8/100)</f>
        <v>100.6847791488</v>
      </c>
      <c r="J8" s="19">
        <v>75.22</v>
      </c>
      <c r="K8" s="37">
        <f>G8*(J8/100)</f>
        <v>120.7511015238</v>
      </c>
    </row>
    <row r="9" spans="1:11" ht="20.25" customHeight="1">
      <c r="A9" s="34" t="s">
        <v>12</v>
      </c>
      <c r="B9" s="35" t="s">
        <v>19</v>
      </c>
      <c r="C9" s="11">
        <v>0.55000000000000004</v>
      </c>
      <c r="D9" s="8">
        <v>0.20469999999999999</v>
      </c>
      <c r="E9" s="32">
        <f>C9*D9*43560</f>
        <v>4904.2026000000005</v>
      </c>
      <c r="F9" s="122">
        <v>3.47</v>
      </c>
      <c r="G9" s="36">
        <f>E9*(F9/100)</f>
        <v>170.17583022000002</v>
      </c>
      <c r="H9" s="15">
        <v>66.14</v>
      </c>
      <c r="I9" s="32">
        <f>G9*(H9/100)</f>
        <v>112.55429410750801</v>
      </c>
      <c r="J9" s="19">
        <v>81.69</v>
      </c>
      <c r="K9" s="37">
        <f>G9*(J9/100)</f>
        <v>139.01663570671801</v>
      </c>
    </row>
    <row r="10" spans="1:11" ht="20.25" customHeight="1" thickBot="1">
      <c r="A10" s="34" t="s">
        <v>12</v>
      </c>
      <c r="B10" s="35" t="s">
        <v>20</v>
      </c>
      <c r="C10" s="12">
        <v>0.55000000000000004</v>
      </c>
      <c r="D10" s="8">
        <v>9.2100000000000001E-2</v>
      </c>
      <c r="E10" s="32">
        <f>C10*D10*43560</f>
        <v>2206.5318000000002</v>
      </c>
      <c r="F10" s="123">
        <v>4.43</v>
      </c>
      <c r="G10" s="36">
        <f>E10*(F10/100)</f>
        <v>97.749358740000005</v>
      </c>
      <c r="H10" s="15">
        <v>70.52</v>
      </c>
      <c r="I10" s="32">
        <f>G10*(H10/100)</f>
        <v>68.932847783447997</v>
      </c>
      <c r="J10" s="19">
        <v>84.19</v>
      </c>
      <c r="K10" s="37">
        <f>G10*(J10/100)</f>
        <v>82.295185123205997</v>
      </c>
    </row>
    <row r="11" spans="1:11" ht="20.25" customHeight="1" thickBot="1">
      <c r="A11" s="38" t="s">
        <v>25</v>
      </c>
      <c r="B11" s="39"/>
      <c r="C11" s="33">
        <f>AVERAGE(C6:C10)</f>
        <v>0.84800000000000009</v>
      </c>
      <c r="D11" s="9">
        <f>AVERAGE(D6:D10)</f>
        <v>0.16274</v>
      </c>
      <c r="E11" s="33"/>
      <c r="F11" s="117">
        <f>AVERAGE(F6:F10)</f>
        <v>3.036</v>
      </c>
      <c r="G11" s="40"/>
      <c r="H11" s="16">
        <f>AVERAGE(H6:H10)</f>
        <v>63.67199999999999</v>
      </c>
      <c r="I11" s="41"/>
      <c r="J11" s="20">
        <f>AVERAGE(J6:J10)</f>
        <v>76.817999999999998</v>
      </c>
      <c r="K11" s="42">
        <f>AVERAGE(K6:K10)</f>
        <v>122.37980431414321</v>
      </c>
    </row>
    <row r="12" spans="1:11" ht="20.25" customHeight="1">
      <c r="A12" s="34" t="s">
        <v>21</v>
      </c>
      <c r="B12" s="35" t="s">
        <v>16</v>
      </c>
      <c r="C12" s="10">
        <v>1.07</v>
      </c>
      <c r="D12" s="8">
        <v>0.2462</v>
      </c>
      <c r="E12" s="32">
        <f>C12*D12*43560</f>
        <v>11475.18504</v>
      </c>
      <c r="F12" s="121">
        <v>2</v>
      </c>
      <c r="G12" s="36">
        <f>E12*(F12/100)</f>
        <v>229.50370080000002</v>
      </c>
      <c r="H12" s="15">
        <v>56.85</v>
      </c>
      <c r="I12" s="32">
        <f>G12*(H12/100)</f>
        <v>130.47285390480002</v>
      </c>
      <c r="J12" s="19">
        <v>66.72</v>
      </c>
      <c r="K12" s="37">
        <f>G12*(J12/100)</f>
        <v>153.12486917376</v>
      </c>
    </row>
    <row r="13" spans="1:11" ht="20.25" customHeight="1">
      <c r="A13" s="34" t="s">
        <v>21</v>
      </c>
      <c r="B13" s="35" t="s">
        <v>27</v>
      </c>
      <c r="C13" s="11">
        <v>1.47</v>
      </c>
      <c r="D13" s="8">
        <v>0.14199999999999999</v>
      </c>
      <c r="E13" s="32">
        <f>C13*D13*43560</f>
        <v>9092.7143999999989</v>
      </c>
      <c r="F13" s="122">
        <v>2</v>
      </c>
      <c r="G13" s="36">
        <f>E13*(F13/100)</f>
        <v>181.85428799999997</v>
      </c>
      <c r="H13" s="15">
        <v>56.6</v>
      </c>
      <c r="I13" s="32">
        <f>G13*(H13/100)</f>
        <v>102.92952700799999</v>
      </c>
      <c r="J13" s="19">
        <v>65.42</v>
      </c>
      <c r="K13" s="37">
        <f>G13*(J13/100)</f>
        <v>118.96907520959998</v>
      </c>
    </row>
    <row r="14" spans="1:11" ht="20.25" customHeight="1">
      <c r="A14" s="34" t="s">
        <v>21</v>
      </c>
      <c r="B14" s="35" t="s">
        <v>18</v>
      </c>
      <c r="C14" s="11">
        <v>1.02</v>
      </c>
      <c r="D14" s="8">
        <v>0.16200000000000001</v>
      </c>
      <c r="E14" s="32">
        <f>C14*D14*43560</f>
        <v>7197.8544000000002</v>
      </c>
      <c r="F14" s="122">
        <v>2.02</v>
      </c>
      <c r="G14" s="36">
        <f>E14*(F14/100)</f>
        <v>145.39665887999999</v>
      </c>
      <c r="H14" s="15">
        <v>56.38</v>
      </c>
      <c r="I14" s="32">
        <f>G14*(H14/100)</f>
        <v>81.974636276544004</v>
      </c>
      <c r="J14" s="19">
        <v>66.28</v>
      </c>
      <c r="K14" s="37">
        <f>G14*(J14/100)</f>
        <v>96.368905505664003</v>
      </c>
    </row>
    <row r="15" spans="1:11" ht="20.25" customHeight="1">
      <c r="A15" s="34" t="s">
        <v>21</v>
      </c>
      <c r="B15" s="35" t="s">
        <v>19</v>
      </c>
      <c r="C15" s="11">
        <v>0.57999999999999996</v>
      </c>
      <c r="D15" s="8">
        <v>0.21990000000000001</v>
      </c>
      <c r="E15" s="32">
        <f>C15*D15*43560</f>
        <v>5555.7295199999999</v>
      </c>
      <c r="F15" s="122">
        <v>2.31</v>
      </c>
      <c r="G15" s="36">
        <f>E15*(F15/100)</f>
        <v>128.337351912</v>
      </c>
      <c r="H15" s="15">
        <v>60.11</v>
      </c>
      <c r="I15" s="32">
        <f>G15*(H15/100)</f>
        <v>77.143582234303196</v>
      </c>
      <c r="J15" s="19">
        <v>67.319999999999993</v>
      </c>
      <c r="K15" s="37">
        <f>G15*(J15/100)</f>
        <v>86.396705307158385</v>
      </c>
    </row>
    <row r="16" spans="1:11" ht="20.25" customHeight="1" thickBot="1">
      <c r="A16" s="34" t="s">
        <v>21</v>
      </c>
      <c r="B16" s="35" t="s">
        <v>20</v>
      </c>
      <c r="C16" s="12">
        <v>0.83</v>
      </c>
      <c r="D16" s="8">
        <v>8.7999999999999995E-2</v>
      </c>
      <c r="E16" s="32">
        <f>C16*D16*43560</f>
        <v>3181.6223999999997</v>
      </c>
      <c r="F16" s="123">
        <v>2.92</v>
      </c>
      <c r="G16" s="36">
        <f>E16*(F16/100)</f>
        <v>92.903374079999992</v>
      </c>
      <c r="H16" s="15">
        <v>62.08</v>
      </c>
      <c r="I16" s="32">
        <f>G16*(H16/100)</f>
        <v>57.674414628864</v>
      </c>
      <c r="J16" s="19">
        <v>70.430000000000007</v>
      </c>
      <c r="K16" s="37">
        <f>G16*(J16/100)</f>
        <v>65.431846364544</v>
      </c>
    </row>
    <row r="17" spans="1:19" ht="20.25" customHeight="1" thickBot="1">
      <c r="A17" s="43" t="s">
        <v>25</v>
      </c>
      <c r="B17" s="44"/>
      <c r="C17" s="33">
        <f>AVERAGE(C12:C16)</f>
        <v>0.99399999999999999</v>
      </c>
      <c r="D17" s="13">
        <f>AVERAGE(D12:D16)</f>
        <v>0.17161999999999999</v>
      </c>
      <c r="E17" s="33"/>
      <c r="F17" s="118">
        <f>AVERAGE(F12:F16)</f>
        <v>2.25</v>
      </c>
      <c r="G17" s="45" t="str">
        <f>IF(AND(CollegeLoans[[#This Row],[Dry Weight (lb/Acre)]]&gt;0,CollegeLoans[[#This Row],[Tissue N (%)]]&gt;0),EDATE(CollegeLoans[[#This Row],[Dry Weight (lb/Acre)]],CollegeLoans[[#This Row],[Tissue N (%)]]*12),"")</f>
        <v/>
      </c>
      <c r="H17" s="17">
        <f>AVERAGE(H12:H16)</f>
        <v>58.403999999999996</v>
      </c>
      <c r="I17" s="46"/>
      <c r="J17" s="21">
        <f>AVERAGE(J12:J16)</f>
        <v>67.234000000000009</v>
      </c>
      <c r="K17" s="47">
        <f>AVERAGE(K12:K16)</f>
        <v>104.05828031214529</v>
      </c>
    </row>
    <row r="18" spans="1:19" ht="20.25" customHeight="1">
      <c r="A18" s="34" t="s">
        <v>32</v>
      </c>
      <c r="B18" s="35" t="s">
        <v>16</v>
      </c>
      <c r="C18" s="10">
        <v>0.72</v>
      </c>
      <c r="D18" s="8">
        <v>0.21340000000000001</v>
      </c>
      <c r="E18" s="32">
        <f t="shared" ref="E18:E23" si="0">C18*D18*43560</f>
        <v>6692.9068800000005</v>
      </c>
      <c r="F18" s="121">
        <v>2.72</v>
      </c>
      <c r="G18" s="36">
        <f t="shared" ref="G18:G23" si="1">E18*(F18/100)</f>
        <v>182.04706713600004</v>
      </c>
      <c r="H18" s="15">
        <v>60.54</v>
      </c>
      <c r="I18" s="32">
        <f t="shared" ref="I18:I23" si="2">G18*(H18/100)</f>
        <v>110.21129444413441</v>
      </c>
      <c r="J18" s="19">
        <v>75.14</v>
      </c>
      <c r="K18" s="37">
        <f t="shared" ref="K18:K23" si="3">G18*(J18/100)</f>
        <v>136.79016624599043</v>
      </c>
      <c r="R18"/>
    </row>
    <row r="19" spans="1:19" ht="20.25" customHeight="1">
      <c r="A19" s="34" t="s">
        <v>32</v>
      </c>
      <c r="B19" s="35" t="s">
        <v>17</v>
      </c>
      <c r="C19" s="11">
        <v>1.54</v>
      </c>
      <c r="D19" s="8">
        <v>0.1424</v>
      </c>
      <c r="E19" s="32">
        <f t="shared" si="0"/>
        <v>9552.5337600000003</v>
      </c>
      <c r="F19" s="122">
        <v>2.83</v>
      </c>
      <c r="G19" s="36">
        <f t="shared" si="1"/>
        <v>270.336705408</v>
      </c>
      <c r="H19" s="15">
        <v>67.569999999999993</v>
      </c>
      <c r="I19" s="32">
        <f t="shared" si="2"/>
        <v>182.66651184418558</v>
      </c>
      <c r="J19" s="19">
        <v>74.430000000000007</v>
      </c>
      <c r="K19" s="37">
        <f t="shared" si="3"/>
        <v>201.21160983517441</v>
      </c>
    </row>
    <row r="20" spans="1:19" ht="20.25" customHeight="1">
      <c r="A20" s="34" t="s">
        <v>32</v>
      </c>
      <c r="B20" s="35" t="s">
        <v>18</v>
      </c>
      <c r="C20" s="11">
        <v>0.34</v>
      </c>
      <c r="D20" s="8">
        <v>0.1331</v>
      </c>
      <c r="E20" s="32">
        <f t="shared" si="0"/>
        <v>1971.2642400000002</v>
      </c>
      <c r="F20" s="122">
        <v>3.13</v>
      </c>
      <c r="G20" s="36">
        <f t="shared" si="1"/>
        <v>61.700570712000008</v>
      </c>
      <c r="H20" s="15">
        <v>78.05</v>
      </c>
      <c r="I20" s="32">
        <f t="shared" si="2"/>
        <v>48.157295440716005</v>
      </c>
      <c r="J20" s="19">
        <v>81.91</v>
      </c>
      <c r="K20" s="37">
        <f t="shared" si="3"/>
        <v>50.538937470199201</v>
      </c>
    </row>
    <row r="21" spans="1:19" ht="20.25" customHeight="1">
      <c r="A21" s="34" t="s">
        <v>32</v>
      </c>
      <c r="B21" s="35" t="s">
        <v>22</v>
      </c>
      <c r="C21" s="11">
        <v>0.96</v>
      </c>
      <c r="D21" s="8">
        <v>0.16020000000000001</v>
      </c>
      <c r="E21" s="32">
        <f t="shared" si="0"/>
        <v>6699.1795200000006</v>
      </c>
      <c r="F21" s="122">
        <v>1.33</v>
      </c>
      <c r="G21" s="36">
        <f t="shared" si="1"/>
        <v>89.09908761600002</v>
      </c>
      <c r="H21" s="15">
        <v>43.48</v>
      </c>
      <c r="I21" s="32">
        <f t="shared" si="2"/>
        <v>38.740283295436804</v>
      </c>
      <c r="J21" s="19">
        <v>54.95</v>
      </c>
      <c r="K21" s="37">
        <f t="shared" si="3"/>
        <v>48.959948644992011</v>
      </c>
    </row>
    <row r="22" spans="1:19" ht="20.25" customHeight="1">
      <c r="A22" s="34" t="s">
        <v>32</v>
      </c>
      <c r="B22" s="35" t="s">
        <v>23</v>
      </c>
      <c r="C22" s="11">
        <v>0.51</v>
      </c>
      <c r="D22" s="8">
        <v>0.1472</v>
      </c>
      <c r="E22" s="32">
        <f t="shared" si="0"/>
        <v>3270.1363200000001</v>
      </c>
      <c r="F22" s="122">
        <v>1.84</v>
      </c>
      <c r="G22" s="36">
        <f t="shared" si="1"/>
        <v>60.170508288000001</v>
      </c>
      <c r="H22" s="15">
        <v>46.25</v>
      </c>
      <c r="I22" s="32">
        <f t="shared" si="2"/>
        <v>27.828860083200002</v>
      </c>
      <c r="J22" s="19">
        <v>62.55</v>
      </c>
      <c r="K22" s="37">
        <f t="shared" si="3"/>
        <v>37.636652934143996</v>
      </c>
    </row>
    <row r="23" spans="1:19" ht="20.25" customHeight="1" thickBot="1">
      <c r="A23" s="34" t="s">
        <v>32</v>
      </c>
      <c r="B23" s="35" t="s">
        <v>24</v>
      </c>
      <c r="C23" s="12">
        <v>0.55000000000000004</v>
      </c>
      <c r="D23" s="8">
        <v>6.4000000000000001E-2</v>
      </c>
      <c r="E23" s="32">
        <f t="shared" si="0"/>
        <v>1533.3120000000001</v>
      </c>
      <c r="F23" s="123">
        <v>2.4900000000000002</v>
      </c>
      <c r="G23" s="36">
        <f t="shared" si="1"/>
        <v>38.179468800000009</v>
      </c>
      <c r="H23" s="15">
        <v>70.8</v>
      </c>
      <c r="I23" s="32">
        <f t="shared" si="2"/>
        <v>27.031063910400004</v>
      </c>
      <c r="J23" s="19">
        <v>77</v>
      </c>
      <c r="K23" s="37">
        <f t="shared" si="3"/>
        <v>29.398190976000009</v>
      </c>
    </row>
    <row r="24" spans="1:19" ht="20.25" customHeight="1">
      <c r="A24" s="43" t="s">
        <v>25</v>
      </c>
      <c r="B24" s="44"/>
      <c r="C24" s="33">
        <f>AVERAGE(C19:C23)</f>
        <v>0.77999999999999992</v>
      </c>
      <c r="D24" s="14">
        <f>AVERAGE(D18:D23)</f>
        <v>0.14338333333333333</v>
      </c>
      <c r="E24" s="33"/>
      <c r="F24" s="119">
        <f>AVERAGE(F18:F23)</f>
        <v>2.39</v>
      </c>
      <c r="G24" s="48" t="str">
        <f>IF(AND(CollegeLoans[[#This Row],[Dry Weight (lb/Acre)]]&gt;0,CollegeLoans[[#This Row],[Tissue N (%)]]&gt;0),EDATE(CollegeLoans[[#This Row],[Dry Weight (lb/Acre)]],CollegeLoans[[#This Row],[Tissue N (%)]]*12),"")</f>
        <v/>
      </c>
      <c r="H24" s="18">
        <f>AVERAGE(H18:H23)</f>
        <v>61.115000000000002</v>
      </c>
      <c r="I24" s="49"/>
      <c r="J24" s="22">
        <f>AVERAGE(J18:J23)</f>
        <v>70.99666666666667</v>
      </c>
      <c r="K24" s="22">
        <f>AVERAGE(K18:K23)</f>
        <v>84.089251017750016</v>
      </c>
      <c r="S24"/>
    </row>
    <row r="25" spans="1:19" ht="20.25" customHeight="1">
      <c r="A25" s="24" t="s">
        <v>26</v>
      </c>
      <c r="B25" s="25"/>
      <c r="C25" s="26"/>
      <c r="D25" s="27">
        <f>AVERAGE(D6:D10, D12:D16, D18:D23)</f>
        <v>0.15825625000000004</v>
      </c>
      <c r="E25" s="28"/>
      <c r="F25" s="120">
        <f>AVERAGE(F6:F10, F12:F16, F18:F23)</f>
        <v>2.5481250000000002</v>
      </c>
      <c r="G25" s="30"/>
      <c r="H25" s="29">
        <f>AVERAGE(H6:H10, H12:H16, H18:H23)</f>
        <v>61.066874999999996</v>
      </c>
      <c r="I25" s="29">
        <f>AVERAGE(I6:I10, I12:I16, I18:I23)</f>
        <v>86.953942628660243</v>
      </c>
      <c r="J25" s="29">
        <f>AVERAGE(J6:J10, J12:J16, J18:J23)</f>
        <v>71.64</v>
      </c>
      <c r="K25" s="29">
        <f>AVERAGE(K6:K10, K12:K16, K18:K23)</f>
        <v>102.2953705773714</v>
      </c>
    </row>
    <row r="26" spans="1:19" ht="20.25" customHeight="1">
      <c r="A26" s="131" t="s">
        <v>93</v>
      </c>
    </row>
    <row r="28" spans="1:19" ht="20.25" customHeight="1">
      <c r="A28" s="31" t="s">
        <v>39</v>
      </c>
    </row>
    <row r="29" spans="1:19" ht="20.25" customHeight="1">
      <c r="A29" s="31" t="s">
        <v>40</v>
      </c>
    </row>
    <row r="30" spans="1:19" ht="20.25" customHeight="1">
      <c r="A30" s="31" t="s">
        <v>38</v>
      </c>
    </row>
  </sheetData>
  <sheetProtection algorithmName="SHA-512" hashValue="wPwNJnxJ53acP3ElLxigYffAzO+o6l4eq8g1d/an4sJO2S7jq/eob8GJmoQkbuIl+iqARp8J+TmCCOsdaUndmg==" saltValue="Qxqmg/7YH0v8ObJpMyss1Q==" spinCount="100000" sheet="1" scenarios="1" formatCells="0"/>
  <mergeCells count="4">
    <mergeCell ref="E4:G4"/>
    <mergeCell ref="A4:D4"/>
    <mergeCell ref="H4:I4"/>
    <mergeCell ref="J4:K4"/>
  </mergeCells>
  <conditionalFormatting sqref="D6:D10">
    <cfRule type="dataBar" priority="7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{DC8CC462-6467-4181-9464-A27A17135539}</x14:id>
        </ext>
      </extLst>
    </cfRule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{3133C120-1D1C-41B9-862B-C7F6F72ADC24}</x14:id>
        </ext>
      </extLst>
    </cfRule>
  </conditionalFormatting>
  <conditionalFormatting sqref="D12:D16">
    <cfRule type="dataBar" priority="8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{072A325E-3FD1-43F6-B037-04043E4442B3}</x14:id>
        </ext>
      </extLst>
    </cfRule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{32B51465-3C61-4886-9264-76075A3438ED}</x14:id>
        </ext>
      </extLst>
    </cfRule>
  </conditionalFormatting>
  <conditionalFormatting sqref="D18:D23">
    <cfRule type="dataBar" priority="6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{E8D668E0-31DF-4063-8635-AB18450C3F7A}</x14:id>
        </ext>
      </extLst>
    </cfRule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{C8DE9DFE-C4CD-47D2-A717-8049805FFC5D}</x14:id>
        </ext>
      </extLst>
    </cfRule>
  </conditionalFormatting>
  <conditionalFormatting sqref="F6: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{797C084C-95FE-456B-8A75-6A86A6519270}</x14:id>
        </ext>
      </extLst>
    </cfRule>
  </conditionalFormatting>
  <conditionalFormatting sqref="F12:F1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{D76EB6CA-237E-4E17-A643-91C99BD129A0}</x14:id>
        </ext>
      </extLst>
    </cfRule>
  </conditionalFormatting>
  <conditionalFormatting sqref="F18:F23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{55B03981-FB0B-49E1-AE41-C980B28AE835}</x14:id>
        </ext>
      </extLst>
    </cfRule>
  </conditionalFormatting>
  <conditionalFormatting sqref="H6:H10"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{BC011729-003C-470D-ADF2-D3803BBA9220}</x14:id>
        </ext>
      </extLst>
    </cfRule>
  </conditionalFormatting>
  <conditionalFormatting sqref="H12:H16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{4A0D28D1-DB2E-400C-9CEB-3944E8F6FC44}</x14:id>
        </ext>
      </extLst>
    </cfRule>
  </conditionalFormatting>
  <conditionalFormatting sqref="H18:H23"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{B79197B6-1BA7-4EDD-A684-BCE5B2736D78}</x14:id>
        </ext>
      </extLst>
    </cfRule>
  </conditionalFormatting>
  <conditionalFormatting sqref="J6:J1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{5505DE29-5C43-4201-A18C-BC1D4E6AC176}</x14:id>
        </ext>
      </extLst>
    </cfRule>
  </conditionalFormatting>
  <conditionalFormatting sqref="J12:J1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{0056C297-0932-4602-974A-6A0214FAB867}</x14:id>
        </ext>
      </extLst>
    </cfRule>
  </conditionalFormatting>
  <conditionalFormatting sqref="J18:J2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{A873A5DA-557E-44A8-9D55-421D0DC982CD}</x14:id>
        </ext>
      </extLst>
    </cfRule>
  </conditionalFormatting>
  <conditionalFormatting sqref="K6:K10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{2EF1648E-2059-4567-BCE9-BA924EF46694}</x14:id>
        </ext>
      </extLst>
    </cfRule>
  </conditionalFormatting>
  <conditionalFormatting sqref="K12:K16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{B9C7CDF5-483E-4D34-ABEB-480CF735C81E}</x14:id>
        </ext>
      </extLst>
    </cfRule>
  </conditionalFormatting>
  <conditionalFormatting sqref="K18:K23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{EBF50682-9839-4BA1-B71D-C7F0DB6F1758}</x14:id>
        </ext>
      </extLst>
    </cfRule>
  </conditionalFormatting>
  <conditionalFormatting sqref="F6:F10 F12:F16 F18:F23">
    <cfRule type="dataBar" priority="2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{14801D94-3E1D-4003-809C-965EAFD84B13}</x14:id>
        </ext>
      </extLst>
    </cfRule>
    <cfRule type="dataBar" priority="5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{355629DA-977B-4E31-BB9A-1A0BED09D0A9}</x14:id>
        </ext>
      </extLst>
    </cfRule>
  </conditionalFormatting>
  <conditionalFormatting sqref="J12:J16 J18:J23 J6:J10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{3405AE4E-BBF5-49D4-8CB0-F89BBABBEDE4}</x14:id>
        </ext>
      </extLst>
    </cfRule>
  </conditionalFormatting>
  <conditionalFormatting sqref="K6:K10 K12:K16 K18:K23">
    <cfRule type="dataBar" priority="3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{8CF7EF24-6B01-4509-B4E2-6EA61CBB3059}</x14:id>
        </ext>
      </extLst>
    </cfRule>
  </conditionalFormatting>
  <conditionalFormatting sqref="E6:E10 E12:E16 E18:E23">
    <cfRule type="dataBar" priority="1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{780CC13F-DAAC-4FC4-8E06-C5E764D11FE2}</x14:id>
        </ext>
      </extLst>
    </cfRule>
  </conditionalFormatting>
  <dataValidations count="1">
    <dataValidation operator="greaterThanOrEqual" allowBlank="1" showInputMessage="1" showErrorMessage="1" sqref="H18:H23 H12:H16 G6:H10 G12:G23"/>
  </dataValidations>
  <pageMargins left="0.25" right="0.25" top="0.5" bottom="0.5" header="0.3" footer="0.3"/>
  <pageSetup scale="71" fitToHeight="0" orientation="landscape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8CC462-6467-4181-9464-A27A1713553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133C120-1D1C-41B9-862B-C7F6F72ADC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D6:D10</xm:sqref>
        </x14:conditionalFormatting>
        <x14:conditionalFormatting xmlns:xm="http://schemas.microsoft.com/office/excel/2006/main">
          <x14:cfRule type="dataBar" id="{072A325E-3FD1-43F6-B037-04043E4442B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2B51465-3C61-4886-9264-76075A3438E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D12:D16</xm:sqref>
        </x14:conditionalFormatting>
        <x14:conditionalFormatting xmlns:xm="http://schemas.microsoft.com/office/excel/2006/main">
          <x14:cfRule type="dataBar" id="{E8D668E0-31DF-4063-8635-AB18450C3F7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8DE9DFE-C4CD-47D2-A717-8049805FFC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D18:D23</xm:sqref>
        </x14:conditionalFormatting>
        <x14:conditionalFormatting xmlns:xm="http://schemas.microsoft.com/office/excel/2006/main">
          <x14:cfRule type="dataBar" id="{797C084C-95FE-456B-8A75-6A86A65192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F6:F10</xm:sqref>
        </x14:conditionalFormatting>
        <x14:conditionalFormatting xmlns:xm="http://schemas.microsoft.com/office/excel/2006/main">
          <x14:cfRule type="dataBar" id="{D76EB6CA-237E-4E17-A643-91C99BD129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F12:F16</xm:sqref>
        </x14:conditionalFormatting>
        <x14:conditionalFormatting xmlns:xm="http://schemas.microsoft.com/office/excel/2006/main">
          <x14:cfRule type="dataBar" id="{55B03981-FB0B-49E1-AE41-C980B28AE8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F18:F23</xm:sqref>
        </x14:conditionalFormatting>
        <x14:conditionalFormatting xmlns:xm="http://schemas.microsoft.com/office/excel/2006/main">
          <x14:cfRule type="dataBar" id="{BC011729-003C-470D-ADF2-D3803BBA92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H6:H10</xm:sqref>
        </x14:conditionalFormatting>
        <x14:conditionalFormatting xmlns:xm="http://schemas.microsoft.com/office/excel/2006/main">
          <x14:cfRule type="dataBar" id="{4A0D28D1-DB2E-400C-9CEB-3944E8F6FC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H12:H16</xm:sqref>
        </x14:conditionalFormatting>
        <x14:conditionalFormatting xmlns:xm="http://schemas.microsoft.com/office/excel/2006/main">
          <x14:cfRule type="dataBar" id="{B79197B6-1BA7-4EDD-A684-BCE5B2736D7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H18:H23</xm:sqref>
        </x14:conditionalFormatting>
        <x14:conditionalFormatting xmlns:xm="http://schemas.microsoft.com/office/excel/2006/main">
          <x14:cfRule type="dataBar" id="{5505DE29-5C43-4201-A18C-BC1D4E6AC1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</xm:sqref>
        </x14:conditionalFormatting>
        <x14:conditionalFormatting xmlns:xm="http://schemas.microsoft.com/office/excel/2006/main">
          <x14:cfRule type="dataBar" id="{0056C297-0932-4602-974A-6A0214FAB8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J12:J16</xm:sqref>
        </x14:conditionalFormatting>
        <x14:conditionalFormatting xmlns:xm="http://schemas.microsoft.com/office/excel/2006/main">
          <x14:cfRule type="dataBar" id="{A873A5DA-557E-44A8-9D55-421D0DC982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J18:J23</xm:sqref>
        </x14:conditionalFormatting>
        <x14:conditionalFormatting xmlns:xm="http://schemas.microsoft.com/office/excel/2006/main">
          <x14:cfRule type="dataBar" id="{2EF1648E-2059-4567-BCE9-BA924EF4669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K6:K10</xm:sqref>
        </x14:conditionalFormatting>
        <x14:conditionalFormatting xmlns:xm="http://schemas.microsoft.com/office/excel/2006/main">
          <x14:cfRule type="dataBar" id="{B9C7CDF5-483E-4D34-ABEB-480CF735C81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K12:K16</xm:sqref>
        </x14:conditionalFormatting>
        <x14:conditionalFormatting xmlns:xm="http://schemas.microsoft.com/office/excel/2006/main">
          <x14:cfRule type="dataBar" id="{EBF50682-9839-4BA1-B71D-C7F0DB6F175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K18:K23</xm:sqref>
        </x14:conditionalFormatting>
        <x14:conditionalFormatting xmlns:xm="http://schemas.microsoft.com/office/excel/2006/main">
          <x14:cfRule type="dataBar" id="{14801D94-3E1D-4003-809C-965EAFD84B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55629DA-977B-4E31-BB9A-1A0BED09D0A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F6:F10 F12:F16 F18:F23</xm:sqref>
        </x14:conditionalFormatting>
        <x14:conditionalFormatting xmlns:xm="http://schemas.microsoft.com/office/excel/2006/main">
          <x14:cfRule type="dataBar" id="{3405AE4E-BBF5-49D4-8CB0-F89BBABBEDE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J12:J16 J18:J23 J6:J10</xm:sqref>
        </x14:conditionalFormatting>
        <x14:conditionalFormatting xmlns:xm="http://schemas.microsoft.com/office/excel/2006/main">
          <x14:cfRule type="dataBar" id="{8CF7EF24-6B01-4509-B4E2-6EA61CBB30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K6:K10 K12:K16 K18:K23</xm:sqref>
        </x14:conditionalFormatting>
        <x14:conditionalFormatting xmlns:xm="http://schemas.microsoft.com/office/excel/2006/main">
          <x14:cfRule type="dataBar" id="{780CC13F-DAAC-4FC4-8E06-C5E764D11FE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E6:E10 E12:E16 E18:E23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L28"/>
  <sheetViews>
    <sheetView zoomScale="98" zoomScaleNormal="98" zoomScalePageLayoutView="98" workbookViewId="0">
      <selection activeCell="N5" sqref="N5"/>
    </sheetView>
  </sheetViews>
  <sheetFormatPr baseColWidth="10" defaultColWidth="8.83203125" defaultRowHeight="20.25" customHeight="1" x14ac:dyDescent="0"/>
  <cols>
    <col min="1" max="1" width="15.1640625" style="23" customWidth="1"/>
    <col min="2" max="2" width="19" style="23" customWidth="1"/>
    <col min="3" max="3" width="12.83203125" style="23" customWidth="1"/>
    <col min="4" max="4" width="13.33203125" style="23" customWidth="1"/>
    <col min="5" max="5" width="10.6640625" style="23" customWidth="1"/>
    <col min="6" max="6" width="11.6640625" style="23" customWidth="1"/>
    <col min="7" max="7" width="8.6640625" style="23" customWidth="1"/>
    <col min="8" max="8" width="8.33203125" style="23" customWidth="1"/>
    <col min="9" max="9" width="11" style="23" customWidth="1"/>
    <col min="10" max="10" width="10.6640625" style="23" customWidth="1"/>
    <col min="11" max="11" width="10" style="23" customWidth="1"/>
    <col min="12" max="12" width="11" style="23" customWidth="1"/>
    <col min="13" max="16384" width="8.83203125" style="23"/>
  </cols>
  <sheetData>
    <row r="4" spans="1:12" ht="42.75" customHeight="1">
      <c r="A4" s="112" t="s">
        <v>86</v>
      </c>
    </row>
    <row r="5" spans="1:12" ht="23.25" customHeight="1">
      <c r="A5" s="184" t="s">
        <v>72</v>
      </c>
      <c r="B5" s="184"/>
      <c r="C5" s="184" t="s">
        <v>73</v>
      </c>
      <c r="D5" s="184"/>
      <c r="E5" s="185"/>
      <c r="F5" s="183" t="s">
        <v>3</v>
      </c>
      <c r="G5" s="184"/>
      <c r="H5" s="185"/>
      <c r="I5" s="183" t="s">
        <v>4</v>
      </c>
      <c r="J5" s="184"/>
      <c r="K5" s="186" t="s">
        <v>5</v>
      </c>
      <c r="L5" s="186"/>
    </row>
    <row r="6" spans="1:12" ht="36" customHeight="1" thickBot="1">
      <c r="A6" s="34" t="s">
        <v>11</v>
      </c>
      <c r="B6" s="51" t="s">
        <v>10</v>
      </c>
      <c r="C6" s="52" t="s">
        <v>0</v>
      </c>
      <c r="D6" s="52" t="s">
        <v>69</v>
      </c>
      <c r="E6" s="53" t="s">
        <v>70</v>
      </c>
      <c r="F6" s="54" t="s">
        <v>1</v>
      </c>
      <c r="G6" s="52" t="s">
        <v>8</v>
      </c>
      <c r="H6" s="53" t="s">
        <v>67</v>
      </c>
      <c r="I6" s="52" t="s">
        <v>6</v>
      </c>
      <c r="J6" s="55" t="s">
        <v>14</v>
      </c>
      <c r="K6" s="52" t="s">
        <v>7</v>
      </c>
      <c r="L6" s="52" t="s">
        <v>71</v>
      </c>
    </row>
    <row r="7" spans="1:12" ht="20.25" customHeight="1">
      <c r="A7" s="34" t="s">
        <v>12</v>
      </c>
      <c r="B7" s="35" t="s">
        <v>28</v>
      </c>
      <c r="C7" s="10">
        <v>0.78</v>
      </c>
      <c r="D7" s="113">
        <f>CollegeLoans3[[#This Row],[Fresh Weight (lb/ft2)]]*43560</f>
        <v>33976.800000000003</v>
      </c>
      <c r="E7" s="114">
        <v>0.106</v>
      </c>
      <c r="F7" s="113">
        <f>C7*E7*43560</f>
        <v>3601.5408000000002</v>
      </c>
      <c r="G7" s="93">
        <v>4.2000000000000003E-2</v>
      </c>
      <c r="H7" s="94">
        <f>F7*(G7)</f>
        <v>151.26471360000002</v>
      </c>
      <c r="I7" s="93">
        <v>0.64029999999999998</v>
      </c>
      <c r="J7" s="37">
        <f>H7*(I7/100)</f>
        <v>0.96854796118080011</v>
      </c>
      <c r="K7" s="93">
        <v>0.69950000000000001</v>
      </c>
      <c r="L7" s="37">
        <f>H7*(K7/100)</f>
        <v>1.0580966716320002</v>
      </c>
    </row>
    <row r="8" spans="1:12" ht="20.25" customHeight="1">
      <c r="A8" s="34" t="s">
        <v>12</v>
      </c>
      <c r="B8" s="35" t="s">
        <v>29</v>
      </c>
      <c r="C8" s="11">
        <v>0.6</v>
      </c>
      <c r="D8" s="113">
        <f>CollegeLoans3[[#This Row],[Fresh Weight (lb/ft2)]]*43560</f>
        <v>26136</v>
      </c>
      <c r="E8" s="114">
        <v>0.11700000000000001</v>
      </c>
      <c r="F8" s="113">
        <f>C8*E8*43560</f>
        <v>3057.9119999999998</v>
      </c>
      <c r="G8" s="93">
        <v>4.9000000000000002E-2</v>
      </c>
      <c r="H8" s="94">
        <f>F8*(G8)</f>
        <v>149.83768799999999</v>
      </c>
      <c r="I8" s="93">
        <v>0.63339999999999996</v>
      </c>
      <c r="J8" s="37">
        <f>H8*(I8/100)</f>
        <v>0.94907191579199979</v>
      </c>
      <c r="K8" s="93">
        <v>0.67720000000000002</v>
      </c>
      <c r="L8" s="37">
        <f>H8*(K8/100)</f>
        <v>1.014700823136</v>
      </c>
    </row>
    <row r="9" spans="1:12" ht="20.25" customHeight="1">
      <c r="A9" s="34" t="s">
        <v>12</v>
      </c>
      <c r="B9" s="35" t="s">
        <v>30</v>
      </c>
      <c r="C9" s="11">
        <v>0.36</v>
      </c>
      <c r="D9" s="113">
        <f>CollegeLoans3[[#This Row],[Fresh Weight (lb/ft2)]]*43560</f>
        <v>15681.599999999999</v>
      </c>
      <c r="E9" s="114">
        <v>0.13420000000000001</v>
      </c>
      <c r="F9" s="113">
        <f>C9*E9*43560</f>
        <v>2104.4707200000003</v>
      </c>
      <c r="G9" s="93">
        <v>4.7199999999999999E-2</v>
      </c>
      <c r="H9" s="94">
        <f>F9*(G9)</f>
        <v>99.331017984000013</v>
      </c>
      <c r="I9" s="93">
        <v>0.54759999999999998</v>
      </c>
      <c r="J9" s="37">
        <f>H9*(I9/100)</f>
        <v>0.54393665448038409</v>
      </c>
      <c r="K9" s="93">
        <v>0.60580000000000001</v>
      </c>
      <c r="L9" s="37">
        <f>H9*(K9/100)</f>
        <v>0.60174730694707212</v>
      </c>
    </row>
    <row r="10" spans="1:12" ht="20.25" customHeight="1">
      <c r="A10" s="34" t="s">
        <v>12</v>
      </c>
      <c r="B10" s="35" t="s">
        <v>20</v>
      </c>
      <c r="C10" s="11">
        <v>0.45</v>
      </c>
      <c r="D10" s="113">
        <f>CollegeLoans3[[#This Row],[Fresh Weight (lb/ft2)]]*43560</f>
        <v>19602</v>
      </c>
      <c r="E10" s="114">
        <v>0.112</v>
      </c>
      <c r="F10" s="113">
        <f>C10*E10*43560</f>
        <v>2195.424</v>
      </c>
      <c r="G10" s="93">
        <v>5.3199999999999997E-2</v>
      </c>
      <c r="H10" s="94">
        <f>F10*(G10)</f>
        <v>116.79655679999999</v>
      </c>
      <c r="I10" s="93">
        <v>0.58460000000000001</v>
      </c>
      <c r="J10" s="37">
        <f>H10*(I10/100)</f>
        <v>0.68279267105279995</v>
      </c>
      <c r="K10" s="93">
        <v>0.66569999999999996</v>
      </c>
      <c r="L10" s="37">
        <f>H10*(K10/100)</f>
        <v>0.77751467861759993</v>
      </c>
    </row>
    <row r="11" spans="1:12" ht="20.25" customHeight="1" thickBot="1">
      <c r="A11" s="34" t="s">
        <v>12</v>
      </c>
      <c r="B11" s="35" t="s">
        <v>31</v>
      </c>
      <c r="C11" s="12">
        <v>1.1499999999999999</v>
      </c>
      <c r="D11" s="113">
        <f>CollegeLoans3[[#This Row],[Fresh Weight (lb/ft2)]]*43560</f>
        <v>50093.999999999993</v>
      </c>
      <c r="E11" s="114">
        <v>0.17199999999999999</v>
      </c>
      <c r="F11" s="113">
        <f>C11*E11*43560</f>
        <v>8616.1679999999997</v>
      </c>
      <c r="G11" s="93">
        <v>2.3400000000000001E-2</v>
      </c>
      <c r="H11" s="94">
        <f>F11*(G11)</f>
        <v>201.6183312</v>
      </c>
      <c r="I11" s="93">
        <v>0.42549999999999999</v>
      </c>
      <c r="J11" s="37">
        <f>H11*(I11/100)</f>
        <v>0.85788599925600006</v>
      </c>
      <c r="K11" s="93">
        <v>0.53280000000000005</v>
      </c>
      <c r="L11" s="37">
        <f>H11*(K11/100)</f>
        <v>1.0742224686336002</v>
      </c>
    </row>
    <row r="12" spans="1:12" ht="20.25" customHeight="1">
      <c r="A12" s="38" t="s">
        <v>25</v>
      </c>
      <c r="B12" s="39"/>
      <c r="C12" s="33">
        <f>AVERAGE(C7:C11)</f>
        <v>0.66799999999999993</v>
      </c>
      <c r="D12" s="33">
        <f>CollegeLoans3[[#This Row],[Fresh Weight (lb/ft2)]]*43560</f>
        <v>29098.079999999998</v>
      </c>
      <c r="E12" s="9">
        <f>AVERAGE(E7:E11)</f>
        <v>0.12823999999999999</v>
      </c>
      <c r="F12" s="132"/>
      <c r="G12" s="133">
        <f>AVERAGE(G7:G11)</f>
        <v>4.2959999999999998E-2</v>
      </c>
      <c r="H12" s="40"/>
      <c r="I12" s="16">
        <f>AVERAGE(I7:I11)</f>
        <v>0.56628000000000001</v>
      </c>
      <c r="J12" s="41"/>
      <c r="K12" s="16">
        <f>AVERAGE(K7:K11)</f>
        <v>0.63619999999999999</v>
      </c>
      <c r="L12" s="41"/>
    </row>
    <row r="13" spans="1:12" ht="20.25" customHeight="1">
      <c r="A13" s="59"/>
      <c r="B13" s="56"/>
      <c r="C13" s="57"/>
      <c r="D13" s="57"/>
      <c r="E13" s="60"/>
      <c r="F13" s="61"/>
      <c r="G13" s="62"/>
      <c r="H13" s="56"/>
      <c r="I13" s="62"/>
      <c r="J13" s="63"/>
      <c r="K13" s="58"/>
      <c r="L13" s="57"/>
    </row>
    <row r="27" spans="1:12" ht="20.2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20.2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</sheetData>
  <sheetProtection algorithmName="SHA-512" hashValue="+ivlXQi31BrWmfaZ6ShZeOIBRGkbHRGWzO+1zyMnncb34Pj/SOSgdC80OHuLPVSnelckXEHi0FoQyUAqiqC9ig==" saltValue="+oTf72j5nvy5ET3LsBViCQ==" spinCount="100000" sheet="1" scenarios="1" formatCells="0"/>
  <mergeCells count="5">
    <mergeCell ref="F5:H5"/>
    <mergeCell ref="I5:J5"/>
    <mergeCell ref="K5:L5"/>
    <mergeCell ref="A5:B5"/>
    <mergeCell ref="C5:E5"/>
  </mergeCells>
  <conditionalFormatting sqref="D7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{7F426246-A1A3-496D-9527-2E183F8012B2}</x14:id>
        </ext>
      </extLst>
    </cfRule>
  </conditionalFormatting>
  <conditionalFormatting sqref="D8:D11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{6EE4501D-FB5E-4BFB-9007-399FC2F99BE8}</x14:id>
        </ext>
      </extLst>
    </cfRule>
  </conditionalFormatting>
  <conditionalFormatting sqref="F7:F11">
    <cfRule type="dataBar" priority="4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{602BD75D-6A34-4236-98F3-A0884490B288}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{7AED33E4-FF49-4A99-80C7-7EA4FC1A7377}</x14:id>
        </ext>
      </extLst>
    </cfRule>
    <cfRule type="dataBar" priority="7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{7E526959-556E-4820-92F0-CCB89717EB9F}</x14:id>
        </ext>
      </extLst>
    </cfRule>
    <cfRule type="dataBar" priority="8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{BB9D2FBC-1428-4978-B488-9F19391C13BE}</x14:id>
        </ext>
      </extLst>
    </cfRule>
  </conditionalFormatting>
  <conditionalFormatting sqref="H21">
    <cfRule type="dataBar" priority="5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{C0667BDF-155E-4912-A7D1-030DB73B3248}</x14:id>
        </ext>
      </extLst>
    </cfRule>
  </conditionalFormatting>
  <conditionalFormatting sqref="I7:I1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{37F9806E-A8AF-4427-B2C6-A79988384A18}</x14:id>
        </ext>
      </extLst>
    </cfRule>
  </conditionalFormatting>
  <conditionalFormatting sqref="K7:K1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{4D3FC200-06B7-446C-BBDA-7D9167C1637E}</x14:id>
        </ext>
      </extLst>
    </cfRule>
  </conditionalFormatting>
  <conditionalFormatting sqref="D7:D11">
    <cfRule type="dataBar" priority="1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{78EB8ABF-EA55-4625-B204-B1F09085B16D}</x14:id>
        </ext>
      </extLst>
    </cfRule>
  </conditionalFormatting>
  <dataValidations count="1">
    <dataValidation operator="greaterThanOrEqual" allowBlank="1" showInputMessage="1" showErrorMessage="1" sqref="H7:I11"/>
  </dataValidations>
  <pageMargins left="0.25" right="0.25" top="0.5" bottom="0.5" header="0.3" footer="0.3"/>
  <pageSetup paperSize="9" fitToHeight="0" orientation="landscape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426246-A1A3-496D-9527-2E183F8012B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D7</xm:sqref>
        </x14:conditionalFormatting>
        <x14:conditionalFormatting xmlns:xm="http://schemas.microsoft.com/office/excel/2006/main">
          <x14:cfRule type="dataBar" id="{6EE4501D-FB5E-4BFB-9007-399FC2F99BE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  <x14:conditionalFormatting xmlns:xm="http://schemas.microsoft.com/office/excel/2006/main">
          <x14:cfRule type="dataBar" id="{602BD75D-6A34-4236-98F3-A0884490B28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AED33E4-FF49-4A99-80C7-7EA4FC1A737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E526959-556E-4820-92F0-CCB89717EB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B9D2FBC-1428-4978-B488-9F19391C13B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F7:F11</xm:sqref>
        </x14:conditionalFormatting>
        <x14:conditionalFormatting xmlns:xm="http://schemas.microsoft.com/office/excel/2006/main">
          <x14:cfRule type="dataBar" id="{C0667BDF-155E-4912-A7D1-030DB73B324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H21</xm:sqref>
        </x14:conditionalFormatting>
        <x14:conditionalFormatting xmlns:xm="http://schemas.microsoft.com/office/excel/2006/main">
          <x14:cfRule type="dataBar" id="{37F9806E-A8AF-4427-B2C6-A79988384A1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I7:I11</xm:sqref>
        </x14:conditionalFormatting>
        <x14:conditionalFormatting xmlns:xm="http://schemas.microsoft.com/office/excel/2006/main">
          <x14:cfRule type="dataBar" id="{4D3FC200-06B7-446C-BBDA-7D9167C1637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K7:K11</xm:sqref>
        </x14:conditionalFormatting>
        <x14:conditionalFormatting xmlns:xm="http://schemas.microsoft.com/office/excel/2006/main">
          <x14:cfRule type="dataBar" id="{78EB8ABF-EA55-4625-B204-B1F09085B16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D7:D11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6"/>
  <sheetViews>
    <sheetView tabSelected="1" zoomScale="75" zoomScaleNormal="75" zoomScalePageLayoutView="75" workbookViewId="0">
      <selection activeCell="P78" sqref="P78"/>
    </sheetView>
  </sheetViews>
  <sheetFormatPr baseColWidth="10" defaultColWidth="11.5" defaultRowHeight="14" x14ac:dyDescent="0"/>
  <cols>
    <col min="3" max="3" width="11.5" customWidth="1"/>
  </cols>
  <sheetData>
    <row r="3" spans="1:39" ht="30">
      <c r="C3" s="138" t="s">
        <v>100</v>
      </c>
      <c r="D3" s="130"/>
      <c r="E3" s="130"/>
      <c r="F3" s="140"/>
      <c r="G3" s="136"/>
      <c r="H3" s="136"/>
      <c r="I3" s="137"/>
      <c r="K3" s="139"/>
      <c r="L3" s="4"/>
      <c r="M3" s="4"/>
      <c r="N3" s="4"/>
      <c r="O3" s="4"/>
    </row>
    <row r="4" spans="1:39" ht="15" thickBot="1">
      <c r="A4" s="65"/>
      <c r="C4" s="65"/>
      <c r="D4" s="65"/>
      <c r="F4" s="65"/>
    </row>
    <row r="5" spans="1:39" ht="24" thickBot="1">
      <c r="A5" s="71"/>
      <c r="B5" s="67"/>
      <c r="C5" s="64"/>
      <c r="D5" s="68" t="s">
        <v>43</v>
      </c>
      <c r="E5" s="67"/>
      <c r="F5" s="67"/>
      <c r="G5" s="66"/>
      <c r="I5" s="71"/>
      <c r="J5" s="67"/>
      <c r="K5" s="67"/>
      <c r="L5" s="68" t="s">
        <v>47</v>
      </c>
      <c r="M5" s="67"/>
      <c r="N5" s="67"/>
      <c r="O5" s="66"/>
      <c r="Q5" s="71"/>
      <c r="R5" s="67"/>
      <c r="S5" s="67"/>
      <c r="T5" s="68" t="s">
        <v>48</v>
      </c>
      <c r="U5" s="67"/>
      <c r="V5" s="67"/>
      <c r="W5" s="66"/>
      <c r="Y5" s="71"/>
      <c r="Z5" s="67"/>
      <c r="AA5" s="67"/>
      <c r="AB5" s="68" t="s">
        <v>49</v>
      </c>
      <c r="AC5" s="67"/>
      <c r="AD5" s="67"/>
      <c r="AE5" s="66"/>
      <c r="AG5" s="71"/>
      <c r="AH5" s="67"/>
      <c r="AI5" s="67"/>
      <c r="AJ5" s="68" t="s">
        <v>111</v>
      </c>
      <c r="AK5" s="67"/>
      <c r="AL5" s="67"/>
      <c r="AM5" s="66"/>
    </row>
    <row r="6" spans="1:39">
      <c r="A6" s="70"/>
      <c r="C6" s="69"/>
    </row>
  </sheetData>
  <sheetProtection password="CE57" sheet="1" objects="1" scenarios="1" formatCells="0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26F942B-5FF9-4EAE-8F7E-F1211FAE02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Cover crop PAN calculator</vt:lpstr>
      <vt:lpstr>Typical Poamoho results</vt:lpstr>
      <vt:lpstr>Typical Lalamilo results</vt:lpstr>
      <vt:lpstr>Model 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loan calculator</dc:title>
  <dc:creator>Koon-Hui Wang</dc:creator>
  <cp:keywords/>
  <cp:lastModifiedBy>Shelby</cp:lastModifiedBy>
  <cp:lastPrinted>2017-03-10T04:13:52Z</cp:lastPrinted>
  <dcterms:created xsi:type="dcterms:W3CDTF">2015-06-17T03:52:45Z</dcterms:created>
  <dcterms:modified xsi:type="dcterms:W3CDTF">2017-10-23T20:57:55Z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TC028021069991</vt:lpwstr>
  </property>
</Properties>
</file>